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mawdsley\Desktop\"/>
    </mc:Choice>
  </mc:AlternateContent>
  <bookViews>
    <workbookView xWindow="0" yWindow="0" windowWidth="16800" windowHeight="11160"/>
  </bookViews>
  <sheets>
    <sheet name="FINAL" sheetId="6" r:id="rId1"/>
    <sheet name="Avg Permeability &amp; CN Calc." sheetId="5" state="veryHidden" r:id="rId2"/>
    <sheet name="Soil Classification" sheetId="4" state="veryHidden" r:id="rId3"/>
    <sheet name="Soil Data" sheetId="8" state="veryHidden" r:id="rId4"/>
    <sheet name="Best Soils" sheetId="9" state="veryHidden" r:id="rId5"/>
    <sheet name="Soils Types" sheetId="7" state="veryHidden" r:id="rId6"/>
  </sheets>
  <definedNames>
    <definedName name="_xlnm.Print_Area" localSheetId="3">'Soil Data'!$A$164:$G$190</definedName>
  </definedNames>
  <calcPr calcId="162913"/>
</workbook>
</file>

<file path=xl/calcChain.xml><?xml version="1.0" encoding="utf-8"?>
<calcChain xmlns="http://schemas.openxmlformats.org/spreadsheetml/2006/main">
  <c r="D13" i="6" l="1"/>
  <c r="B8" i="6" l="1"/>
  <c r="C8" i="6" s="1"/>
  <c r="B9" i="6"/>
  <c r="C9" i="6" s="1"/>
  <c r="G64" i="4" l="1"/>
  <c r="G62" i="4"/>
  <c r="G55" i="4"/>
  <c r="G54" i="4"/>
  <c r="G53" i="4"/>
  <c r="G47" i="4"/>
  <c r="G45" i="4"/>
  <c r="G44" i="4"/>
  <c r="G43" i="4"/>
  <c r="G24" i="4"/>
  <c r="G23" i="4"/>
  <c r="G17" i="4"/>
  <c r="G18" i="4"/>
  <c r="G15" i="4"/>
  <c r="G5" i="4"/>
  <c r="G4" i="4"/>
  <c r="B30" i="6"/>
  <c r="G63" i="4"/>
  <c r="G41" i="4"/>
  <c r="G38" i="4"/>
  <c r="G22" i="4"/>
  <c r="G16" i="4"/>
  <c r="G14" i="4"/>
  <c r="G12" i="4"/>
  <c r="G9" i="4"/>
  <c r="G8" i="4"/>
  <c r="G3" i="4"/>
  <c r="B13" i="6"/>
  <c r="I5" i="5"/>
  <c r="I6" i="5" s="1"/>
  <c r="F5" i="5"/>
  <c r="E11" i="5" s="1"/>
  <c r="C5" i="5"/>
  <c r="B11" i="5" s="1"/>
  <c r="D30" i="6"/>
  <c r="C30" i="6"/>
  <c r="H67" i="7"/>
  <c r="G67" i="7"/>
  <c r="F67" i="7"/>
  <c r="G66" i="7"/>
  <c r="H66" i="7"/>
  <c r="F66" i="7"/>
  <c r="G65" i="7"/>
  <c r="F65" i="7"/>
  <c r="H65" i="7"/>
  <c r="G64" i="7"/>
  <c r="F64" i="7"/>
  <c r="H64" i="7"/>
  <c r="H63" i="7"/>
  <c r="G63" i="7"/>
  <c r="F63" i="7"/>
  <c r="G62" i="7"/>
  <c r="H62" i="7"/>
  <c r="F62" i="7"/>
  <c r="G61" i="7"/>
  <c r="F61" i="7"/>
  <c r="H61" i="7"/>
  <c r="G60" i="7"/>
  <c r="F60" i="7"/>
  <c r="H60" i="7"/>
  <c r="H59" i="7"/>
  <c r="G59" i="7"/>
  <c r="F59" i="7"/>
  <c r="G58" i="7"/>
  <c r="H58" i="7"/>
  <c r="F58" i="7"/>
  <c r="G57" i="7"/>
  <c r="F57" i="7"/>
  <c r="H57" i="7"/>
  <c r="G56" i="7"/>
  <c r="F56" i="7"/>
  <c r="H56" i="7"/>
  <c r="H55" i="7"/>
  <c r="G55" i="7"/>
  <c r="F55" i="7"/>
  <c r="G54" i="7"/>
  <c r="H54" i="7"/>
  <c r="F54" i="7"/>
  <c r="G53" i="7"/>
  <c r="F53" i="7"/>
  <c r="H53" i="7"/>
  <c r="G52" i="7"/>
  <c r="F52" i="7"/>
  <c r="H52" i="7"/>
  <c r="H51" i="7"/>
  <c r="G51" i="7"/>
  <c r="F51" i="7"/>
  <c r="G50" i="7"/>
  <c r="H50" i="7"/>
  <c r="F50" i="7"/>
  <c r="G49" i="7"/>
  <c r="F49" i="7"/>
  <c r="H49" i="7"/>
  <c r="G48" i="7"/>
  <c r="F48" i="7"/>
  <c r="H48" i="7"/>
  <c r="H47" i="7"/>
  <c r="G47" i="7"/>
  <c r="F47" i="7"/>
  <c r="G46" i="7"/>
  <c r="H46" i="7"/>
  <c r="F46" i="7"/>
  <c r="G45" i="7"/>
  <c r="F45" i="7"/>
  <c r="H45" i="7"/>
  <c r="G44" i="7"/>
  <c r="F44" i="7"/>
  <c r="H44" i="7"/>
  <c r="H43" i="7"/>
  <c r="G43" i="7"/>
  <c r="F43" i="7"/>
  <c r="G42" i="7"/>
  <c r="H42" i="7"/>
  <c r="F42" i="7"/>
  <c r="G41" i="7"/>
  <c r="F41" i="7"/>
  <c r="H41" i="7"/>
  <c r="G40" i="7"/>
  <c r="F40" i="7"/>
  <c r="H40" i="7"/>
  <c r="H39" i="7"/>
  <c r="G39" i="7"/>
  <c r="F39" i="7"/>
  <c r="G38" i="7"/>
  <c r="H38" i="7"/>
  <c r="F38" i="7"/>
  <c r="G37" i="7"/>
  <c r="F37" i="7"/>
  <c r="H37" i="7"/>
  <c r="G36" i="7"/>
  <c r="F36" i="7"/>
  <c r="H36" i="7"/>
  <c r="H35" i="7"/>
  <c r="G35" i="7"/>
  <c r="F35" i="7"/>
  <c r="G34" i="7"/>
  <c r="H34" i="7"/>
  <c r="F34" i="7"/>
  <c r="G33" i="7"/>
  <c r="F33" i="7"/>
  <c r="H33" i="7"/>
  <c r="G32" i="7"/>
  <c r="F32" i="7"/>
  <c r="H32" i="7"/>
  <c r="H31" i="7"/>
  <c r="G31" i="7"/>
  <c r="F31" i="7"/>
  <c r="G30" i="7"/>
  <c r="H30" i="7"/>
  <c r="F30" i="7"/>
  <c r="G29" i="7"/>
  <c r="F29" i="7"/>
  <c r="H29" i="7"/>
  <c r="G28" i="7"/>
  <c r="F28" i="7"/>
  <c r="H28" i="7"/>
  <c r="H27" i="7"/>
  <c r="G27" i="7"/>
  <c r="F27" i="7"/>
  <c r="G26" i="7"/>
  <c r="H26" i="7"/>
  <c r="F26" i="7"/>
  <c r="G25" i="7"/>
  <c r="F25" i="7"/>
  <c r="H25" i="7"/>
  <c r="G24" i="7"/>
  <c r="F24" i="7"/>
  <c r="H24" i="7"/>
  <c r="H23" i="7"/>
  <c r="G23" i="7"/>
  <c r="F23" i="7"/>
  <c r="G22" i="7"/>
  <c r="H22" i="7"/>
  <c r="F22" i="7"/>
  <c r="G21" i="7"/>
  <c r="F21" i="7"/>
  <c r="H21" i="7"/>
  <c r="G20" i="7"/>
  <c r="F20" i="7"/>
  <c r="H20" i="7"/>
  <c r="H19" i="7"/>
  <c r="G19" i="7"/>
  <c r="F19" i="7"/>
  <c r="G18" i="7"/>
  <c r="H18" i="7"/>
  <c r="F18" i="7"/>
  <c r="G17" i="7"/>
  <c r="F17" i="7"/>
  <c r="H17" i="7"/>
  <c r="G16" i="7"/>
  <c r="F16" i="7"/>
  <c r="H16" i="7"/>
  <c r="H15" i="7"/>
  <c r="G15" i="7"/>
  <c r="F15" i="7"/>
  <c r="G14" i="7"/>
  <c r="H14" i="7"/>
  <c r="F14" i="7"/>
  <c r="G13" i="7"/>
  <c r="F13" i="7"/>
  <c r="H13" i="7"/>
  <c r="G12" i="7"/>
  <c r="F12" i="7"/>
  <c r="H12" i="7"/>
  <c r="H11" i="7"/>
  <c r="G11" i="7"/>
  <c r="F11" i="7"/>
  <c r="G10" i="7"/>
  <c r="H10" i="7"/>
  <c r="F10" i="7"/>
  <c r="G9" i="7"/>
  <c r="F9" i="7"/>
  <c r="H9" i="7"/>
  <c r="G8" i="7"/>
  <c r="F8" i="7"/>
  <c r="H8" i="7"/>
  <c r="B24" i="6"/>
  <c r="B21" i="6" s="1"/>
  <c r="Z2" i="4"/>
  <c r="G6" i="4"/>
  <c r="W2" i="4"/>
  <c r="G46" i="4"/>
  <c r="G42" i="4"/>
  <c r="Q2" i="4"/>
  <c r="G34" i="4"/>
  <c r="L2" i="4"/>
  <c r="G26" i="4"/>
  <c r="G32" i="4"/>
  <c r="AL15" i="5"/>
  <c r="G35" i="4"/>
  <c r="G31" i="4"/>
  <c r="G49" i="4"/>
  <c r="G13" i="4"/>
  <c r="G33" i="4"/>
  <c r="G20" i="4"/>
  <c r="G59" i="4"/>
  <c r="G48" i="4"/>
  <c r="G51" i="4"/>
  <c r="G30" i="4"/>
  <c r="G27" i="4"/>
  <c r="G58" i="4"/>
  <c r="G7" i="4"/>
  <c r="G19" i="4"/>
  <c r="G36" i="4"/>
  <c r="G11" i="4"/>
  <c r="G21" i="4"/>
  <c r="G28" i="4"/>
  <c r="G50" i="4"/>
  <c r="G56" i="4"/>
  <c r="G39" i="4"/>
  <c r="G25" i="4"/>
  <c r="G10" i="4"/>
  <c r="G40" i="4"/>
  <c r="G37" i="4"/>
  <c r="G61" i="4"/>
  <c r="G29" i="4"/>
  <c r="G57" i="4"/>
  <c r="G52" i="4"/>
  <c r="G60" i="4"/>
  <c r="B25" i="6" l="1"/>
  <c r="M6" i="5"/>
  <c r="D31" i="6"/>
  <c r="H11" i="5"/>
  <c r="F6" i="5"/>
  <c r="C11" i="5"/>
  <c r="M10" i="5" s="1"/>
  <c r="B16" i="5"/>
  <c r="C16" i="5" s="1"/>
  <c r="M15" i="5" s="1"/>
  <c r="C6" i="5"/>
  <c r="F11" i="5"/>
  <c r="M11" i="5" s="1"/>
  <c r="E16" i="5"/>
  <c r="F16" i="5" s="1"/>
  <c r="M16" i="5" s="1"/>
  <c r="C31" i="6" l="1"/>
  <c r="M5" i="5"/>
  <c r="H16" i="5"/>
  <c r="I16" i="5" s="1"/>
  <c r="M17" i="5" s="1"/>
  <c r="F18" i="5" s="1" a="1"/>
  <c r="F18" i="5" s="1"/>
  <c r="I11" i="5"/>
  <c r="M12" i="5" s="1"/>
  <c r="F13" i="5" s="1"/>
  <c r="B31" i="6"/>
  <c r="M4" i="5"/>
  <c r="F8" i="5" s="1"/>
  <c r="B17" i="6" l="1"/>
  <c r="B18" i="6" s="1"/>
  <c r="B15" i="6" s="1"/>
  <c r="B19" i="6" s="1"/>
  <c r="B26" i="6" s="1"/>
  <c r="B34" i="6" s="1"/>
  <c r="B32" i="6"/>
  <c r="B33" i="6" s="1"/>
  <c r="B36" i="6" s="1"/>
  <c r="B29" i="6"/>
  <c r="B35" i="6" s="1"/>
  <c r="B38" i="6" l="1"/>
  <c r="H50" i="6" s="1"/>
  <c r="D38" i="6" l="1"/>
  <c r="H49" i="6"/>
  <c r="H51" i="6" s="1"/>
  <c r="H53" i="6" s="1"/>
  <c r="H54" i="6" s="1"/>
  <c r="B40" i="6"/>
  <c r="B39" i="6"/>
  <c r="B41" i="6" l="1"/>
  <c r="B42" i="6" s="1"/>
  <c r="D42" i="6" s="1"/>
  <c r="H52" i="6"/>
</calcChain>
</file>

<file path=xl/sharedStrings.xml><?xml version="1.0" encoding="utf-8"?>
<sst xmlns="http://schemas.openxmlformats.org/spreadsheetml/2006/main" count="1446" uniqueCount="309">
  <si>
    <t>Depth</t>
  </si>
  <si>
    <t>USDA texture</t>
  </si>
  <si>
    <t>Classification</t>
  </si>
  <si>
    <t>Unified</t>
  </si>
  <si>
    <t>In</t>
  </si>
  <si>
    <t>Muck</t>
  </si>
  <si>
    <t>PT</t>
  </si>
  <si>
    <t>Gravelly silty clay loam, silty clay loam</t>
  </si>
  <si>
    <t>CL</t>
  </si>
  <si>
    <t>Silt loam</t>
  </si>
  <si>
    <t>Silty clay loam</t>
  </si>
  <si>
    <t>Stratified loamy sand to clay loam</t>
  </si>
  <si>
    <t>CL, CL-ML</t>
  </si>
  <si>
    <t>Silty clay loam, silt loam</t>
  </si>
  <si>
    <t>Sandy loam, clay loam, loam</t>
  </si>
  <si>
    <t>CL, SC-SM</t>
  </si>
  <si>
    <t>Stratified silt loam to loamy sand</t>
  </si>
  <si>
    <t>SM, SC-SM, CL</t>
  </si>
  <si>
    <t>CL, ML</t>
  </si>
  <si>
    <t>MH, CL, ML</t>
  </si>
  <si>
    <t>Silty clay, silty clay loam</t>
  </si>
  <si>
    <t>CL, CH</t>
  </si>
  <si>
    <t>Silty clay loam, silty clay</t>
  </si>
  <si>
    <t>CH, CL</t>
  </si>
  <si>
    <t>SC-SM</t>
  </si>
  <si>
    <t>ML</t>
  </si>
  <si>
    <t>SC</t>
  </si>
  <si>
    <t>SM</t>
  </si>
  <si>
    <t>MH</t>
  </si>
  <si>
    <t>CH</t>
  </si>
  <si>
    <t>GW</t>
  </si>
  <si>
    <t>GP</t>
  </si>
  <si>
    <t>GM</t>
  </si>
  <si>
    <t>(GM)</t>
  </si>
  <si>
    <t>GC</t>
  </si>
  <si>
    <t>SW</t>
  </si>
  <si>
    <t>SP</t>
  </si>
  <si>
    <t>(SP-SW)</t>
  </si>
  <si>
    <t>(SP-GP)</t>
  </si>
  <si>
    <t>(GW-SW)</t>
  </si>
  <si>
    <t>OL</t>
  </si>
  <si>
    <t>(ML-MH)</t>
  </si>
  <si>
    <t>(CL-CH)</t>
  </si>
  <si>
    <t>OH</t>
  </si>
  <si>
    <t>Pt</t>
  </si>
  <si>
    <t>(CL-ML)</t>
  </si>
  <si>
    <t>(SC-SM)</t>
  </si>
  <si>
    <t>CL-ML, SC, CL, SC-SM, SM, ML</t>
  </si>
  <si>
    <t>Loam</t>
  </si>
  <si>
    <t>SC-SM, SC, CL-ML, CL</t>
  </si>
  <si>
    <t>Silty clay loam, sandy loam, silt loam</t>
  </si>
  <si>
    <t>CL, SC</t>
  </si>
  <si>
    <t>Stratified loamy sand to silty clay loam</t>
  </si>
  <si>
    <t>SC, SC-SM, CL</t>
  </si>
  <si>
    <t>ML, CL</t>
  </si>
  <si>
    <t>Clay loam, sandy loam, loam, gravelly sandy clay loam, gravelly sandy loam</t>
  </si>
  <si>
    <t>Sandy loam, loam, silt loam</t>
  </si>
  <si>
    <t>Stratified loam to loamy sand</t>
  </si>
  <si>
    <t>SM, SC-SM, SC, CL-ML, CL</t>
  </si>
  <si>
    <t>Silt loam, clay loam, sandy clay loam</t>
  </si>
  <si>
    <t>CL, CL-ML, ML</t>
  </si>
  <si>
    <t>Clay loam, loam, sandy loam</t>
  </si>
  <si>
    <t>CL, ML, SC, SM</t>
  </si>
  <si>
    <t>Silty clay, silty clay loam, clay</t>
  </si>
  <si>
    <t>Silty clay loam, clay loam</t>
  </si>
  <si>
    <t>CH, MH</t>
  </si>
  <si>
    <t>Sandy clay loam, loam, clay loam</t>
  </si>
  <si>
    <t>SC, CL</t>
  </si>
  <si>
    <t>Stratified very gravelly loamy sand to extremely gravelly coarse sand</t>
  </si>
  <si>
    <t>GP, SP, GP-GM</t>
  </si>
  <si>
    <t>Stratified gravelly loamy sand to extremely gravelly coarse sand</t>
  </si>
  <si>
    <t>GP, SM, GP-GM</t>
  </si>
  <si>
    <t>Sandy clay loam</t>
  </si>
  <si>
    <t>CL, ML, CL-ML</t>
  </si>
  <si>
    <t>Loam, fine sandy loam, sandy loam</t>
  </si>
  <si>
    <t>SC, SC-SM</t>
  </si>
  <si>
    <t>Sandy loam, gravelly sandy loam, fine sandy loam</t>
  </si>
  <si>
    <t>Loam, clay loam, gravelly sandy clay loam</t>
  </si>
  <si>
    <t>Sand and gravel</t>
  </si>
  <si>
    <t>GP, GP-GM, SP, SP-SM</t>
  </si>
  <si>
    <t>Clay loam, sandy clay loam, gravelly loam</t>
  </si>
  <si>
    <t>CL, GC, SC</t>
  </si>
  <si>
    <t>Stratified sand to extremely gravelly coarse sand</t>
  </si>
  <si>
    <t>Clay loam</t>
  </si>
  <si>
    <t>Very gravelly loam, gravelly loam, sandy clay loam</t>
  </si>
  <si>
    <t>Stratified gravelly loamy sand to extremely gravelly coarse sand, very gravelly coarse sand</t>
  </si>
  <si>
    <t>SP-SM</t>
  </si>
  <si>
    <t>Clay loam, gravelly clay loam, sandy clay loam, very gravelly loam</t>
  </si>
  <si>
    <t>Stratified gravelly loamy sand to extremely gravelly coarse sand, very gravelly sand</t>
  </si>
  <si>
    <t>GP-GM</t>
  </si>
  <si>
    <t>Gravelly loam, sandy clay loam</t>
  </si>
  <si>
    <t>SC, GC, CL</t>
  </si>
  <si>
    <t>Gravelly sand, very gravelly coarse sand, stratified sand to gravel</t>
  </si>
  <si>
    <t>SP, GP, GP-GM, SP-SM, SM</t>
  </si>
  <si>
    <t>Stratified gravelly sand to very gravelly coarse sand to extremely gravelly coarse sand</t>
  </si>
  <si>
    <t>GP, SP-SM</t>
  </si>
  <si>
    <t>Sand and gravel, sand, coarse sand</t>
  </si>
  <si>
    <t>Loam, clay loam, silty clay loam</t>
  </si>
  <si>
    <t>Stratified sand to very gravelly loamy sand</t>
  </si>
  <si>
    <t>CL, MH, CH</t>
  </si>
  <si>
    <t>Sandy clay loam, sandy loam</t>
  </si>
  <si>
    <t>Gravelly loamy sand, sand, error</t>
  </si>
  <si>
    <t>Sandy clay loam, loam, clay loam, silt loam, sandy loam</t>
  </si>
  <si>
    <t>CL, CL-ML, SC-SM, SC</t>
  </si>
  <si>
    <t>Sandy clay loam, loam</t>
  </si>
  <si>
    <t>Gravelly sandy loam, sandy loam, fine sandy loam</t>
  </si>
  <si>
    <t>GC-GM</t>
  </si>
  <si>
    <t>Clay loam, sandy clay loam, loam</t>
  </si>
  <si>
    <t>Fine sandy loam, sandy loam, gravelly sandy loam</t>
  </si>
  <si>
    <t>GM, SC-SM</t>
  </si>
  <si>
    <t>GM, SM</t>
  </si>
  <si>
    <t>SM, SC-SM, SC</t>
  </si>
  <si>
    <t>Sandy loam, loam</t>
  </si>
  <si>
    <t>Stratified loam to gravelly loamy sand</t>
  </si>
  <si>
    <t>Sand and gravel, very gravelly sandy loam, sand</t>
  </si>
  <si>
    <t>Loamy sand, sand</t>
  </si>
  <si>
    <t>SM, SP-SM</t>
  </si>
  <si>
    <t>Clay loam, silt loam, gravelly sandy loam, loam</t>
  </si>
  <si>
    <t>Gravelly sand, extremely gravelly coarse sand</t>
  </si>
  <si>
    <t>GM, GP-GM, SM, SP-SM</t>
  </si>
  <si>
    <t>Stratified sandy loam to silty clay loam</t>
  </si>
  <si>
    <t>Gravelly sand, extremely gravelly coarse sand, gravelly sandy loam</t>
  </si>
  <si>
    <t>Clay loam, loam</t>
  </si>
  <si>
    <t>Loam, sandy loam, loamy sand</t>
  </si>
  <si>
    <t>CL, CL-ML, SC, SC-SM</t>
  </si>
  <si>
    <t>SM, SP-SM, SC-SM</t>
  </si>
  <si>
    <t>Clay, silty clay loam, silty clay</t>
  </si>
  <si>
    <t>Clay loam, gravelly loam, sandy loam</t>
  </si>
  <si>
    <t>CL, SC, SM, CL-ML, ML</t>
  </si>
  <si>
    <t>GP-GM, SP, SP-SM, GP</t>
  </si>
  <si>
    <t>Gravelly clay loam, gravelly sandy loam, gravelly loamy sand, loam</t>
  </si>
  <si>
    <t>CH, CL, MH</t>
  </si>
  <si>
    <t>CL, ML, MH</t>
  </si>
  <si>
    <t>Clay loam, loam, silty clay loam</t>
  </si>
  <si>
    <t>(GP-GM)</t>
  </si>
  <si>
    <t>(SP-SM)</t>
  </si>
  <si>
    <t>100A</t>
  </si>
  <si>
    <t>Palms muck</t>
  </si>
  <si>
    <t>103A</t>
  </si>
  <si>
    <t>Houghton muck</t>
  </si>
  <si>
    <t>104A</t>
  </si>
  <si>
    <t>Virgil silt loam</t>
  </si>
  <si>
    <t>134B</t>
  </si>
  <si>
    <t>Camden silt loam</t>
  </si>
  <si>
    <t>Soil Name</t>
  </si>
  <si>
    <t>Map Unit Symbol</t>
  </si>
  <si>
    <t>146A</t>
  </si>
  <si>
    <t>Elliott silt loam</t>
  </si>
  <si>
    <t>149A</t>
  </si>
  <si>
    <t>Brenton silt loam</t>
  </si>
  <si>
    <t>153A</t>
  </si>
  <si>
    <t>Pella silty clay loam</t>
  </si>
  <si>
    <t>153A+</t>
  </si>
  <si>
    <t>Pella silt loam</t>
  </si>
  <si>
    <t>Troxel silt loam</t>
  </si>
  <si>
    <t>197A</t>
  </si>
  <si>
    <t>Elburn silt loam</t>
  </si>
  <si>
    <t>198A</t>
  </si>
  <si>
    <t>206A</t>
  </si>
  <si>
    <t>Thorp silt loam</t>
  </si>
  <si>
    <t>210A</t>
  </si>
  <si>
    <t>Lena muck</t>
  </si>
  <si>
    <t>219A</t>
  </si>
  <si>
    <t>Millbrook silt loam</t>
  </si>
  <si>
    <t>223B</t>
  </si>
  <si>
    <t>Varna silt loam</t>
  </si>
  <si>
    <t>232A</t>
  </si>
  <si>
    <t>Ashkum silty clay loam</t>
  </si>
  <si>
    <t>290A</t>
  </si>
  <si>
    <t>Warsaw loam</t>
  </si>
  <si>
    <t>290B</t>
  </si>
  <si>
    <t>290C2</t>
  </si>
  <si>
    <t>Ringwood silt loam</t>
  </si>
  <si>
    <t>297B</t>
  </si>
  <si>
    <t>298B</t>
  </si>
  <si>
    <t>Beecher silt loam</t>
  </si>
  <si>
    <t>310B</t>
  </si>
  <si>
    <t>McHenry silt loam</t>
  </si>
  <si>
    <t>Lorenzo loam</t>
  </si>
  <si>
    <t>318B</t>
  </si>
  <si>
    <t>318C2</t>
  </si>
  <si>
    <t>323B</t>
  </si>
  <si>
    <t>Casco loam</t>
  </si>
  <si>
    <t>323C2</t>
  </si>
  <si>
    <t>323C3</t>
  </si>
  <si>
    <t>Casco clay loam</t>
  </si>
  <si>
    <t>323D3</t>
  </si>
  <si>
    <t>325A</t>
  </si>
  <si>
    <t>Dresden silt loam</t>
  </si>
  <si>
    <t>325B</t>
  </si>
  <si>
    <t>327A</t>
  </si>
  <si>
    <t>Fox silt loam</t>
  </si>
  <si>
    <t>Fox loam</t>
  </si>
  <si>
    <t>327D2</t>
  </si>
  <si>
    <t>327C2</t>
  </si>
  <si>
    <t>327B</t>
  </si>
  <si>
    <t>329A</t>
  </si>
  <si>
    <t>Will loam</t>
  </si>
  <si>
    <t>330A</t>
  </si>
  <si>
    <t>Peotone silty clay loam</t>
  </si>
  <si>
    <t>343A</t>
  </si>
  <si>
    <t>Kane silt loam</t>
  </si>
  <si>
    <t>344A</t>
  </si>
  <si>
    <t>Harvard silt loam</t>
  </si>
  <si>
    <t>361B</t>
  </si>
  <si>
    <t>Kidder loam</t>
  </si>
  <si>
    <t>Kidder clay loam</t>
  </si>
  <si>
    <t>361D3</t>
  </si>
  <si>
    <t>361D2</t>
  </si>
  <si>
    <t>361C3</t>
  </si>
  <si>
    <t>361C2</t>
  </si>
  <si>
    <t>361C</t>
  </si>
  <si>
    <t>363C2</t>
  </si>
  <si>
    <t>Griswold loam</t>
  </si>
  <si>
    <t>369A</t>
  </si>
  <si>
    <t>Waupecan silt loam</t>
  </si>
  <si>
    <t>488A</t>
  </si>
  <si>
    <t>Hooppole loam</t>
  </si>
  <si>
    <t>523A</t>
  </si>
  <si>
    <t>Dunham silty clay loam</t>
  </si>
  <si>
    <t>526A</t>
  </si>
  <si>
    <t>Grundelein silt loam</t>
  </si>
  <si>
    <t>528A</t>
  </si>
  <si>
    <t>Lahoguess loam</t>
  </si>
  <si>
    <t>530B</t>
  </si>
  <si>
    <t>Ozaukee silt loam</t>
  </si>
  <si>
    <t>530D2</t>
  </si>
  <si>
    <t>530C2</t>
  </si>
  <si>
    <t>557A</t>
  </si>
  <si>
    <t>Millstream silt loam</t>
  </si>
  <si>
    <t>791A</t>
  </si>
  <si>
    <t>Rush silt loam</t>
  </si>
  <si>
    <t>791C2</t>
  </si>
  <si>
    <t>791B</t>
  </si>
  <si>
    <t>792A</t>
  </si>
  <si>
    <t>Bowes silt loam</t>
  </si>
  <si>
    <t>792B</t>
  </si>
  <si>
    <t>802B</t>
  </si>
  <si>
    <t>Orthents</t>
  </si>
  <si>
    <t>1210A</t>
  </si>
  <si>
    <t>1330A</t>
  </si>
  <si>
    <t>8776A</t>
  </si>
  <si>
    <t>Comfrey loam</t>
  </si>
  <si>
    <t>Soil Permeability Rate (in/hr)</t>
  </si>
  <si>
    <t>B/D</t>
  </si>
  <si>
    <t>A/D</t>
  </si>
  <si>
    <t>B</t>
  </si>
  <si>
    <t>C</t>
  </si>
  <si>
    <t>AVG Limit (ft)</t>
  </si>
  <si>
    <t>Water Table</t>
  </si>
  <si>
    <t>Symbol</t>
  </si>
  <si>
    <t>Hydrologic Group</t>
  </si>
  <si>
    <t xml:space="preserve">Runoff, R (in) = </t>
  </si>
  <si>
    <t>CN</t>
  </si>
  <si>
    <t>S =</t>
  </si>
  <si>
    <t>USCS Infiltration Rate (in/hr)</t>
  </si>
  <si>
    <t>cf</t>
  </si>
  <si>
    <t>Unified Soil Classification System (USCS) Symbol</t>
  </si>
  <si>
    <t>Average USCS Infiltration Rate (in/hr)</t>
  </si>
  <si>
    <t>Depth (in)</t>
  </si>
  <si>
    <t xml:space="preserve">Upper </t>
  </si>
  <si>
    <t>Lower</t>
  </si>
  <si>
    <t>Soil Permeability</t>
  </si>
  <si>
    <t xml:space="preserve"> Rate (in/hr)</t>
  </si>
  <si>
    <t>P = 100-year, 24-hour rainfall =</t>
  </si>
  <si>
    <t>Square feet</t>
  </si>
  <si>
    <t>For Information Only - NRCS Runoff Equation:</t>
  </si>
  <si>
    <t>ENTER VALUES IN THE YELLOW FIELDS ONLY</t>
  </si>
  <si>
    <t>Existing Stormwater Runoff (cubic feet) =</t>
  </si>
  <si>
    <t>Proposed Stormwater Runoff (cubic feet) =</t>
  </si>
  <si>
    <t>Stormwater Storage Volume Required (cubic feet) =</t>
  </si>
  <si>
    <t>Stormwater Storage Volume Required</t>
  </si>
  <si>
    <t xml:space="preserve">Total Volume Infiltrated in 24-hours per linear foot of trench </t>
  </si>
  <si>
    <t>Combo Volume</t>
  </si>
  <si>
    <t>24 hr. Infiltration Volume</t>
  </si>
  <si>
    <t>24 hr. Total Volume</t>
  </si>
  <si>
    <t>days</t>
  </si>
  <si>
    <t>Days to Drain</t>
  </si>
  <si>
    <t>CHECK</t>
  </si>
  <si>
    <t>A</t>
  </si>
  <si>
    <t>D</t>
  </si>
  <si>
    <t>Avg. CN</t>
  </si>
  <si>
    <t xml:space="preserve">Avg CN </t>
  </si>
  <si>
    <t>Avg Soil Permeability Rate (in/hr)</t>
  </si>
  <si>
    <t>cf/24 hrs/lf</t>
  </si>
  <si>
    <t>cubic feet</t>
  </si>
  <si>
    <t>24 hour Infiltration Volume</t>
  </si>
  <si>
    <t>feet</t>
  </si>
  <si>
    <t xml:space="preserve">For Information Only </t>
  </si>
  <si>
    <t>Largest Depth</t>
  </si>
  <si>
    <t>Volume of 1 linear foot of 2 foot wide Combo</t>
  </si>
  <si>
    <t xml:space="preserve">Total Volume Infiltrated and Stored in 24-hours </t>
  </si>
  <si>
    <t>Theoretical Bottom of Trench Below Finished Grade in Inches (D)</t>
  </si>
  <si>
    <t>USCS Infiltration Rate (cf/24 hr/lf of Infiltration 2 ft. wide Trench/Chamber "Combo")</t>
  </si>
  <si>
    <t>Fine sandy loam, loam, silt loam, clay loam</t>
  </si>
  <si>
    <t>Gravelly sandy loam, sandy loam</t>
  </si>
  <si>
    <t>Step 1: Determine Total Impervious Lot Coverage</t>
  </si>
  <si>
    <t>Enter Total Lot Area in Square Feet</t>
  </si>
  <si>
    <t>Existing Impervious Area in Square Feet</t>
  </si>
  <si>
    <t>Step 2: Determine Length of Infiltration Trench Required</t>
  </si>
  <si>
    <t>acres =</t>
  </si>
  <si>
    <r>
      <t xml:space="preserve">Increase in Impervious Surface </t>
    </r>
    <r>
      <rPr>
        <sz val="14"/>
        <color theme="1"/>
        <rFont val="Arial Narrow"/>
        <family val="2"/>
      </rPr>
      <t>(maximum 1.5%)</t>
    </r>
  </si>
  <si>
    <r>
      <t xml:space="preserve">Total Impervious Surface </t>
    </r>
    <r>
      <rPr>
        <sz val="14"/>
        <color theme="1"/>
        <rFont val="Arial Narrow"/>
        <family val="2"/>
      </rPr>
      <t>(maximum 50%)</t>
    </r>
  </si>
  <si>
    <t xml:space="preserve">Proposed Impervious Area Created by New Improvement </t>
  </si>
  <si>
    <t>Total Number of Days to Drain (maximum 3 days)</t>
  </si>
  <si>
    <r>
      <t>Total Length of</t>
    </r>
    <r>
      <rPr>
        <b/>
        <sz val="14"/>
        <color indexed="8"/>
        <rFont val="Arial Narrow"/>
        <family val="2"/>
      </rPr>
      <t xml:space="preserve"> Infiltration Trench Required (maximum 50 feet)</t>
    </r>
  </si>
  <si>
    <t>Proposed Impervious Area Added in Square Feet</t>
  </si>
  <si>
    <t>290a</t>
  </si>
  <si>
    <t>SIMPLIFIED ANALYSIS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</si>
</sst>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"/>
    <numFmt numFmtId="165" formatCode="0.0000"/>
    <numFmt numFmtId="166" formatCode="0.00000000"/>
    <numFmt numFmtId="167" formatCode="0.0000000000"/>
    <numFmt numFmtId="168" formatCode="_(* #,##0_);_(* \(#,##0\);_(* &quot;-&quot;??_);_(@_)"/>
    <numFmt numFmtId="169" formatCode="0.000000000000"/>
    <numFmt numFmtId="170" formatCode="0.00000000000000"/>
    <numFmt numFmtId="171" formatCode="0.0%"/>
  </numFmts>
  <fonts count="2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Veranda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Veranda"/>
    </font>
    <font>
      <i/>
      <sz val="14"/>
      <color theme="1"/>
      <name val="Arial Narrow"/>
      <family val="2"/>
    </font>
    <font>
      <b/>
      <sz val="12"/>
      <color rgb="FFFA7D00"/>
      <name val="Veranda"/>
    </font>
    <font>
      <b/>
      <sz val="18"/>
      <color theme="1"/>
      <name val="Arial Narrow"/>
      <family val="2"/>
    </font>
    <font>
      <b/>
      <sz val="12"/>
      <name val="Calibri"/>
      <family val="2"/>
      <scheme val="minor"/>
    </font>
    <font>
      <sz val="12"/>
      <color theme="1"/>
      <name val="Tahoma"/>
      <family val="2"/>
    </font>
    <font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27" applyNumberFormat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3">
    <xf numFmtId="0" fontId="0" fillId="0" borderId="0" xfId="0"/>
    <xf numFmtId="0" fontId="7" fillId="0" borderId="0" xfId="0" applyFont="1"/>
    <xf numFmtId="166" fontId="7" fillId="0" borderId="0" xfId="0" applyNumberFormat="1" applyFont="1"/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9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4" applyFont="1" applyFill="1" applyBorder="1" applyAlignment="1" applyProtection="1">
      <alignment horizontal="center" vertical="center" wrapText="1"/>
    </xf>
    <xf numFmtId="0" fontId="9" fillId="0" borderId="0" xfId="4" applyFont="1" applyAlignment="1" applyProtection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0" fontId="8" fillId="0" borderId="0" xfId="0" applyNumberFormat="1" applyFont="1" applyFill="1" applyAlignment="1">
      <alignment horizontal="center" vertical="center"/>
    </xf>
    <xf numFmtId="169" fontId="9" fillId="0" borderId="0" xfId="4" applyNumberFormat="1" applyFont="1" applyAlignment="1" applyProtection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67" fontId="7" fillId="0" borderId="0" xfId="0" applyNumberFormat="1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67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1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167" fontId="0" fillId="4" borderId="0" xfId="0" applyNumberFormat="1" applyFill="1" applyAlignment="1">
      <alignment vertical="center"/>
    </xf>
    <xf numFmtId="1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1" fontId="0" fillId="4" borderId="0" xfId="0" applyNumberFormat="1" applyFill="1" applyAlignment="1">
      <alignment horizontal="center" vertical="center" wrapText="1"/>
    </xf>
    <xf numFmtId="167" fontId="0" fillId="4" borderId="0" xfId="0" applyNumberFormat="1" applyFill="1" applyAlignment="1">
      <alignment vertical="center" wrapText="1"/>
    </xf>
    <xf numFmtId="0" fontId="10" fillId="0" borderId="5" xfId="0" applyFont="1" applyBorder="1"/>
    <xf numFmtId="0" fontId="10" fillId="0" borderId="5" xfId="0" applyFont="1" applyBorder="1" applyAlignment="1"/>
    <xf numFmtId="165" fontId="10" fillId="0" borderId="1" xfId="0" applyNumberFormat="1" applyFont="1" applyFill="1" applyBorder="1"/>
    <xf numFmtId="165" fontId="10" fillId="0" borderId="1" xfId="0" applyNumberFormat="1" applyFont="1" applyBorder="1"/>
    <xf numFmtId="43" fontId="10" fillId="0" borderId="1" xfId="0" applyNumberFormat="1" applyFont="1" applyBorder="1"/>
    <xf numFmtId="39" fontId="10" fillId="0" borderId="1" xfId="0" applyNumberFormat="1" applyFont="1" applyFill="1" applyBorder="1"/>
    <xf numFmtId="0" fontId="8" fillId="0" borderId="0" xfId="0" applyFont="1" applyBorder="1"/>
    <xf numFmtId="0" fontId="8" fillId="0" borderId="2" xfId="0" applyFont="1" applyBorder="1"/>
    <xf numFmtId="0" fontId="6" fillId="0" borderId="0" xfId="0" applyFont="1"/>
    <xf numFmtId="164" fontId="8" fillId="0" borderId="10" xfId="0" applyNumberFormat="1" applyFont="1" applyBorder="1"/>
    <xf numFmtId="0" fontId="8" fillId="0" borderId="6" xfId="0" applyFont="1" applyBorder="1"/>
    <xf numFmtId="0" fontId="8" fillId="0" borderId="7" xfId="0" applyFont="1" applyBorder="1" applyAlignment="1">
      <alignment horizontal="left"/>
    </xf>
    <xf numFmtId="164" fontId="8" fillId="0" borderId="13" xfId="0" applyNumberFormat="1" applyFont="1" applyBorder="1"/>
    <xf numFmtId="0" fontId="8" fillId="0" borderId="14" xfId="0" applyFont="1" applyBorder="1" applyAlignment="1">
      <alignment horizontal="left"/>
    </xf>
    <xf numFmtId="164" fontId="8" fillId="0" borderId="3" xfId="0" applyNumberFormat="1" applyFont="1" applyBorder="1"/>
    <xf numFmtId="0" fontId="8" fillId="0" borderId="4" xfId="0" applyFont="1" applyBorder="1"/>
    <xf numFmtId="0" fontId="0" fillId="0" borderId="0" xfId="0" applyAlignment="1">
      <alignment horizontal="center"/>
    </xf>
    <xf numFmtId="43" fontId="8" fillId="0" borderId="10" xfId="0" applyNumberFormat="1" applyFont="1" applyBorder="1"/>
    <xf numFmtId="0" fontId="8" fillId="0" borderId="7" xfId="0" applyFont="1" applyBorder="1"/>
    <xf numFmtId="0" fontId="10" fillId="0" borderId="5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7" fontId="7" fillId="0" borderId="0" xfId="0" applyNumberFormat="1" applyFont="1" applyBorder="1"/>
    <xf numFmtId="167" fontId="7" fillId="0" borderId="4" xfId="0" applyNumberFormat="1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15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4" fillId="0" borderId="16" xfId="0" applyFont="1" applyBorder="1"/>
    <xf numFmtId="166" fontId="14" fillId="0" borderId="17" xfId="0" applyNumberFormat="1" applyFont="1" applyBorder="1"/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" fontId="10" fillId="0" borderId="1" xfId="0" applyNumberFormat="1" applyFont="1" applyBorder="1"/>
    <xf numFmtId="38" fontId="12" fillId="5" borderId="19" xfId="0" applyNumberFormat="1" applyFont="1" applyFill="1" applyBorder="1"/>
    <xf numFmtId="0" fontId="12" fillId="5" borderId="18" xfId="0" applyFont="1" applyFill="1" applyBorder="1" applyAlignment="1">
      <alignment horizontal="right"/>
    </xf>
    <xf numFmtId="0" fontId="12" fillId="5" borderId="20" xfId="0" applyFont="1" applyFill="1" applyBorder="1" applyAlignment="1"/>
    <xf numFmtId="39" fontId="10" fillId="6" borderId="1" xfId="0" applyNumberFormat="1" applyFont="1" applyFill="1" applyBorder="1"/>
    <xf numFmtId="43" fontId="10" fillId="6" borderId="1" xfId="0" applyNumberFormat="1" applyFont="1" applyFill="1" applyBorder="1"/>
    <xf numFmtId="0" fontId="0" fillId="0" borderId="0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16" fillId="3" borderId="1" xfId="2" applyFont="1" applyBorder="1" applyAlignment="1">
      <alignment horizontal="center" vertical="center"/>
    </xf>
    <xf numFmtId="0" fontId="16" fillId="3" borderId="12" xfId="2" applyFont="1" applyBorder="1" applyAlignment="1">
      <alignment horizontal="center" vertical="center"/>
    </xf>
    <xf numFmtId="0" fontId="12" fillId="0" borderId="5" xfId="0" applyFont="1" applyBorder="1"/>
    <xf numFmtId="0" fontId="19" fillId="0" borderId="1" xfId="0" applyFont="1" applyBorder="1"/>
    <xf numFmtId="0" fontId="12" fillId="4" borderId="1" xfId="0" applyFont="1" applyFill="1" applyBorder="1" applyAlignment="1" applyProtection="1">
      <alignment horizontal="center"/>
      <protection locked="0"/>
    </xf>
    <xf numFmtId="165" fontId="15" fillId="0" borderId="1" xfId="0" applyNumberFormat="1" applyFont="1" applyFill="1" applyBorder="1"/>
    <xf numFmtId="0" fontId="15" fillId="0" borderId="1" xfId="0" applyFont="1" applyBorder="1"/>
    <xf numFmtId="0" fontId="13" fillId="0" borderId="5" xfId="0" applyFont="1" applyBorder="1" applyAlignment="1">
      <alignment horizontal="left"/>
    </xf>
    <xf numFmtId="2" fontId="10" fillId="0" borderId="1" xfId="0" applyNumberFormat="1" applyFont="1" applyBorder="1"/>
    <xf numFmtId="0" fontId="10" fillId="0" borderId="1" xfId="0" applyFont="1" applyBorder="1"/>
    <xf numFmtId="0" fontId="10" fillId="0" borderId="5" xfId="0" applyFont="1" applyBorder="1" applyAlignment="1">
      <alignment horizontal="right"/>
    </xf>
    <xf numFmtId="164" fontId="10" fillId="0" borderId="1" xfId="0" applyNumberFormat="1" applyFont="1" applyBorder="1"/>
    <xf numFmtId="168" fontId="10" fillId="0" borderId="1" xfId="3" applyNumberFormat="1" applyFont="1" applyBorder="1"/>
    <xf numFmtId="0" fontId="13" fillId="0" borderId="5" xfId="0" applyFont="1" applyFill="1" applyBorder="1" applyAlignment="1">
      <alignment horizontal="right"/>
    </xf>
    <xf numFmtId="168" fontId="13" fillId="0" borderId="1" xfId="0" applyNumberFormat="1" applyFont="1" applyFill="1" applyBorder="1"/>
    <xf numFmtId="0" fontId="0" fillId="0" borderId="5" xfId="0" applyBorder="1"/>
    <xf numFmtId="0" fontId="10" fillId="0" borderId="5" xfId="0" applyFont="1" applyBorder="1" applyAlignment="1">
      <alignment horizontal="left"/>
    </xf>
    <xf numFmtId="1" fontId="10" fillId="0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5" borderId="5" xfId="0" applyFont="1" applyFill="1" applyBorder="1" applyAlignment="1">
      <alignment horizontal="right"/>
    </xf>
    <xf numFmtId="38" fontId="12" fillId="5" borderId="1" xfId="0" applyNumberFormat="1" applyFont="1" applyFill="1" applyBorder="1"/>
    <xf numFmtId="0" fontId="12" fillId="5" borderId="1" xfId="0" applyFont="1" applyFill="1" applyBorder="1" applyAlignment="1"/>
    <xf numFmtId="0" fontId="12" fillId="5" borderId="19" xfId="0" applyFont="1" applyFill="1" applyBorder="1" applyAlignment="1"/>
    <xf numFmtId="0" fontId="11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3" fillId="0" borderId="5" xfId="0" applyFont="1" applyFill="1" applyBorder="1" applyAlignment="1">
      <alignment horizontal="left"/>
    </xf>
    <xf numFmtId="0" fontId="13" fillId="6" borderId="5" xfId="0" applyFont="1" applyFill="1" applyBorder="1" applyAlignment="1"/>
    <xf numFmtId="0" fontId="0" fillId="0" borderId="30" xfId="0" applyBorder="1" applyAlignment="1"/>
    <xf numFmtId="0" fontId="0" fillId="0" borderId="11" xfId="0" applyBorder="1" applyAlignment="1"/>
    <xf numFmtId="0" fontId="0" fillId="0" borderId="31" xfId="0" applyBorder="1" applyAlignment="1"/>
    <xf numFmtId="0" fontId="0" fillId="0" borderId="0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10" fillId="0" borderId="21" xfId="0" applyFont="1" applyBorder="1"/>
    <xf numFmtId="0" fontId="0" fillId="0" borderId="21" xfId="0" applyBorder="1"/>
    <xf numFmtId="0" fontId="12" fillId="5" borderId="29" xfId="0" applyFont="1" applyFill="1" applyBorder="1" applyAlignment="1"/>
    <xf numFmtId="0" fontId="12" fillId="4" borderId="21" xfId="0" applyFont="1" applyFill="1" applyBorder="1" applyAlignment="1" applyProtection="1">
      <alignment horizontal="center"/>
      <protection locked="0"/>
    </xf>
    <xf numFmtId="168" fontId="12" fillId="6" borderId="21" xfId="3" applyNumberFormat="1" applyFont="1" applyFill="1" applyBorder="1" applyProtection="1">
      <protection locked="0"/>
    </xf>
    <xf numFmtId="1" fontId="10" fillId="0" borderId="21" xfId="0" applyNumberFormat="1" applyFont="1" applyFill="1" applyBorder="1" applyAlignment="1">
      <alignment horizontal="center"/>
    </xf>
    <xf numFmtId="165" fontId="10" fillId="0" borderId="21" xfId="0" applyNumberFormat="1" applyFont="1" applyBorder="1"/>
    <xf numFmtId="0" fontId="10" fillId="0" borderId="21" xfId="0" applyFont="1" applyBorder="1" applyAlignment="1">
      <alignment horizontal="left" vertical="center" wrapText="1"/>
    </xf>
    <xf numFmtId="0" fontId="12" fillId="5" borderId="21" xfId="0" applyFont="1" applyFill="1" applyBorder="1" applyAlignment="1"/>
    <xf numFmtId="0" fontId="17" fillId="0" borderId="3" xfId="0" applyFont="1" applyFill="1" applyBorder="1" applyAlignment="1">
      <alignment vertical="center" wrapText="1"/>
    </xf>
    <xf numFmtId="0" fontId="20" fillId="0" borderId="3" xfId="1" applyFont="1" applyFill="1" applyBorder="1" applyAlignment="1"/>
    <xf numFmtId="0" fontId="0" fillId="0" borderId="3" xfId="0" applyFill="1" applyBorder="1" applyAlignment="1"/>
    <xf numFmtId="0" fontId="15" fillId="0" borderId="3" xfId="0" applyFont="1" applyFill="1" applyBorder="1" applyAlignment="1"/>
    <xf numFmtId="0" fontId="12" fillId="0" borderId="3" xfId="0" applyFont="1" applyFill="1" applyBorder="1" applyAlignment="1"/>
    <xf numFmtId="0" fontId="11" fillId="0" borderId="3" xfId="0" applyFont="1" applyFill="1" applyBorder="1" applyAlignment="1"/>
    <xf numFmtId="0" fontId="12" fillId="0" borderId="3" xfId="0" applyFont="1" applyFill="1" applyBorder="1"/>
    <xf numFmtId="0" fontId="1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left" vertical="center" wrapText="1"/>
    </xf>
    <xf numFmtId="0" fontId="10" fillId="0" borderId="3" xfId="0" applyFont="1" applyFill="1" applyBorder="1" applyAlignment="1"/>
    <xf numFmtId="0" fontId="17" fillId="0" borderId="0" xfId="0" applyFont="1" applyFill="1" applyBorder="1" applyAlignment="1">
      <alignment vertical="center" wrapText="1"/>
    </xf>
    <xf numFmtId="0" fontId="20" fillId="0" borderId="0" xfId="1" applyFont="1" applyFill="1" applyBorder="1" applyAlignment="1"/>
    <xf numFmtId="0" fontId="0" fillId="0" borderId="0" xfId="0" applyFill="1" applyBorder="1" applyAlignment="1"/>
    <xf numFmtId="0" fontId="15" fillId="0" borderId="0" xfId="0" applyFont="1" applyFill="1" applyBorder="1" applyAlignment="1"/>
    <xf numFmtId="0" fontId="0" fillId="0" borderId="0" xfId="0" applyFill="1" applyBorder="1"/>
    <xf numFmtId="0" fontId="11" fillId="0" borderId="0" xfId="0" applyFont="1" applyFill="1" applyBorder="1" applyAlignment="1"/>
    <xf numFmtId="0" fontId="19" fillId="0" borderId="0" xfId="0" applyFont="1" applyFill="1" applyBorder="1" applyAlignment="1"/>
    <xf numFmtId="0" fontId="10" fillId="0" borderId="0" xfId="0" applyFont="1" applyFill="1" applyBorder="1"/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9" fillId="0" borderId="3" xfId="0" applyFont="1" applyFill="1" applyBorder="1" applyAlignment="1"/>
    <xf numFmtId="171" fontId="12" fillId="5" borderId="21" xfId="0" applyNumberFormat="1" applyFont="1" applyFill="1" applyBorder="1"/>
    <xf numFmtId="0" fontId="12" fillId="4" borderId="1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1" fontId="10" fillId="7" borderId="2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6" borderId="21" xfId="0" applyFont="1" applyFill="1" applyBorder="1" applyAlignment="1">
      <alignment horizontal="left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0" fillId="8" borderId="28" xfId="1" applyFont="1" applyFill="1" applyBorder="1" applyAlignment="1">
      <alignment horizontal="center"/>
    </xf>
    <xf numFmtId="0" fontId="20" fillId="8" borderId="29" xfId="1" applyFont="1" applyFill="1" applyBorder="1" applyAlignment="1">
      <alignment horizontal="center"/>
    </xf>
    <xf numFmtId="0" fontId="20" fillId="8" borderId="22" xfId="1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0" xfId="4" applyFont="1" applyAlignment="1" applyProtection="1">
      <alignment horizontal="center" vertical="center" wrapText="1"/>
    </xf>
    <xf numFmtId="170" fontId="9" fillId="0" borderId="0" xfId="4" applyNumberFormat="1" applyFont="1" applyAlignment="1" applyProtection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18" fillId="0" borderId="1" xfId="4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5">
    <cellStyle name="Bad" xfId="1" builtinId="27"/>
    <cellStyle name="Calculation" xfId="2" builtinId="22"/>
    <cellStyle name="Comma" xfId="3" builtinId="3"/>
    <cellStyle name="Normal" xfId="0" builtinId="0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2"/>
  <sheetViews>
    <sheetView tabSelected="1" zoomScale="110" zoomScaleNormal="110" workbookViewId="0">
      <selection activeCell="B4" sqref="B4:B6"/>
    </sheetView>
  </sheetViews>
  <sheetFormatPr defaultColWidth="10.7109375" defaultRowHeight="15"/>
  <cols>
    <col min="1" max="1" width="71.5703125" customWidth="1"/>
    <col min="2" max="4" width="12.7109375" customWidth="1"/>
    <col min="5" max="5" width="8.42578125" bestFit="1" customWidth="1"/>
    <col min="6" max="6" width="13.7109375" bestFit="1" customWidth="1"/>
    <col min="7" max="8" width="11.5703125" bestFit="1" customWidth="1"/>
    <col min="9" max="9" width="24.5703125" bestFit="1" customWidth="1"/>
  </cols>
  <sheetData>
    <row r="1" spans="1:6" ht="23.25">
      <c r="A1" s="177" t="s">
        <v>308</v>
      </c>
      <c r="B1" s="178"/>
      <c r="C1" s="178"/>
      <c r="D1" s="179"/>
      <c r="E1" s="141"/>
      <c r="F1" s="152"/>
    </row>
    <row r="2" spans="1:6" ht="16.5">
      <c r="A2" s="180" t="s">
        <v>267</v>
      </c>
      <c r="B2" s="181"/>
      <c r="C2" s="181"/>
      <c r="D2" s="182"/>
      <c r="E2" s="142"/>
      <c r="F2" s="153"/>
    </row>
    <row r="3" spans="1:6" ht="18">
      <c r="A3" s="99" t="s">
        <v>296</v>
      </c>
      <c r="B3" s="100"/>
      <c r="C3" s="126"/>
      <c r="D3" s="127"/>
      <c r="E3" s="143"/>
      <c r="F3" s="154"/>
    </row>
    <row r="4" spans="1:6" ht="18">
      <c r="A4" s="123" t="s">
        <v>297</v>
      </c>
      <c r="B4" s="164">
        <v>5500</v>
      </c>
      <c r="C4" s="128"/>
      <c r="D4" s="129"/>
      <c r="E4" s="143"/>
      <c r="F4" s="154"/>
    </row>
    <row r="5" spans="1:6" ht="18">
      <c r="A5" s="123" t="s">
        <v>298</v>
      </c>
      <c r="B5" s="164">
        <v>2000</v>
      </c>
      <c r="C5" s="128"/>
      <c r="D5" s="129"/>
      <c r="E5" s="143"/>
      <c r="F5" s="154"/>
    </row>
    <row r="6" spans="1:6" ht="18.75" customHeight="1">
      <c r="A6" s="123" t="s">
        <v>306</v>
      </c>
      <c r="B6" s="164">
        <v>640</v>
      </c>
      <c r="C6" s="130"/>
      <c r="D6" s="131"/>
      <c r="E6" s="143"/>
      <c r="F6" s="154"/>
    </row>
    <row r="7" spans="1:6" ht="6" customHeight="1">
      <c r="A7" s="186"/>
      <c r="B7" s="187"/>
      <c r="C7" s="187"/>
      <c r="D7" s="188"/>
      <c r="E7" s="144"/>
      <c r="F7" s="155"/>
    </row>
    <row r="8" spans="1:6" ht="18">
      <c r="A8" s="118" t="s">
        <v>302</v>
      </c>
      <c r="B8" s="163">
        <f>(B6+B5)/B4</f>
        <v>0.48</v>
      </c>
      <c r="C8" s="140" t="str">
        <f>IF(B8&gt;=0.5, "Contact the Planning Division", "OK")</f>
        <v>OK</v>
      </c>
      <c r="D8" s="134"/>
      <c r="E8" s="145"/>
      <c r="F8" s="156"/>
    </row>
    <row r="9" spans="1:6" ht="18">
      <c r="A9" s="118" t="s">
        <v>301</v>
      </c>
      <c r="B9" s="163">
        <f>B6/B4</f>
        <v>0.11636363636363636</v>
      </c>
      <c r="C9" s="140" t="str">
        <f>IF(B9&gt;=0.015,  "Continue to Step 2", "No Further Action Required")</f>
        <v>Continue to Step 2</v>
      </c>
      <c r="D9" s="134"/>
      <c r="E9" s="145"/>
      <c r="F9" s="156"/>
    </row>
    <row r="10" spans="1:6" ht="11.45" customHeight="1">
      <c r="A10" s="183"/>
      <c r="B10" s="184"/>
      <c r="C10" s="184"/>
      <c r="D10" s="185"/>
      <c r="E10" s="146"/>
      <c r="F10" s="157"/>
    </row>
    <row r="11" spans="1:6" ht="18">
      <c r="A11" s="99" t="s">
        <v>299</v>
      </c>
      <c r="B11" s="192"/>
      <c r="C11" s="193"/>
      <c r="D11" s="193"/>
      <c r="E11" s="162"/>
      <c r="F11" s="158"/>
    </row>
    <row r="12" spans="1:6" ht="18">
      <c r="A12" s="122" t="s">
        <v>257</v>
      </c>
      <c r="B12" s="101" t="s">
        <v>307</v>
      </c>
      <c r="C12" s="101"/>
      <c r="D12" s="135"/>
      <c r="E12" s="162"/>
      <c r="F12" s="158"/>
    </row>
    <row r="13" spans="1:6" ht="18" hidden="1">
      <c r="A13" s="123" t="s">
        <v>303</v>
      </c>
      <c r="B13" s="102">
        <f>D13/43560</f>
        <v>1.4692378328741965E-2</v>
      </c>
      <c r="C13" s="103" t="s">
        <v>300</v>
      </c>
      <c r="D13" s="136">
        <f>B6</f>
        <v>640</v>
      </c>
      <c r="E13" s="147" t="s">
        <v>265</v>
      </c>
      <c r="F13" s="156"/>
    </row>
    <row r="14" spans="1:6" ht="15.75" hidden="1">
      <c r="A14" s="104" t="s">
        <v>266</v>
      </c>
      <c r="B14" s="105"/>
      <c r="C14" s="106"/>
      <c r="D14" s="132"/>
      <c r="E14" s="148"/>
      <c r="F14" s="159"/>
    </row>
    <row r="15" spans="1:6" ht="15.75" hidden="1">
      <c r="A15" s="107" t="s">
        <v>252</v>
      </c>
      <c r="B15" s="105">
        <f>((B16-0.2*B18)^2)/(B16+0.8*B18)</f>
        <v>3.1277901094011118</v>
      </c>
      <c r="C15" s="106"/>
      <c r="D15" s="132"/>
      <c r="E15" s="148"/>
      <c r="F15" s="159"/>
    </row>
    <row r="16" spans="1:6" ht="15.75" hidden="1">
      <c r="A16" s="107" t="s">
        <v>264</v>
      </c>
      <c r="B16" s="106">
        <v>7.58</v>
      </c>
      <c r="C16" s="106"/>
      <c r="D16" s="132"/>
      <c r="E16" s="148"/>
      <c r="F16" s="159"/>
    </row>
    <row r="17" spans="1:6" ht="15.75" hidden="1">
      <c r="A17" s="107" t="s">
        <v>253</v>
      </c>
      <c r="B17" s="108">
        <f>'Avg Permeability &amp; CN Calc.'!F13</f>
        <v>61</v>
      </c>
      <c r="C17" s="106"/>
      <c r="D17" s="132"/>
      <c r="E17" s="148"/>
      <c r="F17" s="159"/>
    </row>
    <row r="18" spans="1:6" ht="15.75" hidden="1">
      <c r="A18" s="107" t="s">
        <v>254</v>
      </c>
      <c r="B18" s="105">
        <f>(1000/B17)-10</f>
        <v>6.3934426229508183</v>
      </c>
      <c r="C18" s="106"/>
      <c r="D18" s="132"/>
      <c r="E18" s="148"/>
      <c r="F18" s="159"/>
    </row>
    <row r="19" spans="1:6" ht="15.75" hidden="1">
      <c r="A19" s="107" t="s">
        <v>268</v>
      </c>
      <c r="B19" s="109">
        <f>(B13*43560)*(B15/12)</f>
        <v>166.81547250139263</v>
      </c>
      <c r="C19" s="106"/>
      <c r="D19" s="132"/>
      <c r="E19" s="148"/>
      <c r="F19" s="159"/>
    </row>
    <row r="20" spans="1:6" ht="15.75" hidden="1">
      <c r="A20" s="104" t="s">
        <v>266</v>
      </c>
      <c r="B20" s="105"/>
      <c r="C20" s="106"/>
      <c r="D20" s="132"/>
      <c r="E20" s="148"/>
      <c r="F20" s="159"/>
    </row>
    <row r="21" spans="1:6" ht="15.75" hidden="1">
      <c r="A21" s="107" t="s">
        <v>252</v>
      </c>
      <c r="B21" s="105">
        <f>((B22-0.2*B24)^2)/(B22+0.8*B24)</f>
        <v>7.3404808198119804</v>
      </c>
      <c r="C21" s="106"/>
      <c r="D21" s="132"/>
      <c r="E21" s="148"/>
      <c r="F21" s="159"/>
    </row>
    <row r="22" spans="1:6" ht="15.75" hidden="1">
      <c r="A22" s="107" t="s">
        <v>264</v>
      </c>
      <c r="B22" s="106">
        <v>7.58</v>
      </c>
      <c r="C22" s="106"/>
      <c r="D22" s="132"/>
      <c r="E22" s="148"/>
      <c r="F22" s="159"/>
    </row>
    <row r="23" spans="1:6" ht="15.75" hidden="1">
      <c r="A23" s="107" t="s">
        <v>253</v>
      </c>
      <c r="B23" s="108">
        <v>98</v>
      </c>
      <c r="C23" s="106"/>
      <c r="D23" s="132"/>
      <c r="E23" s="148"/>
      <c r="F23" s="159"/>
    </row>
    <row r="24" spans="1:6" ht="15.75" hidden="1">
      <c r="A24" s="107" t="s">
        <v>254</v>
      </c>
      <c r="B24" s="105">
        <f>(1000/B23)-10</f>
        <v>0.20408163265306101</v>
      </c>
      <c r="C24" s="106"/>
      <c r="D24" s="132"/>
      <c r="E24" s="148"/>
      <c r="F24" s="159"/>
    </row>
    <row r="25" spans="1:6" ht="15.75" hidden="1">
      <c r="A25" s="107" t="s">
        <v>269</v>
      </c>
      <c r="B25" s="109">
        <f>(B13*43560)*(B21/12)</f>
        <v>391.49231038997232</v>
      </c>
      <c r="C25" s="106"/>
      <c r="D25" s="132"/>
      <c r="E25" s="148"/>
      <c r="F25" s="159"/>
    </row>
    <row r="26" spans="1:6" ht="15.75" hidden="1">
      <c r="A26" s="110" t="s">
        <v>270</v>
      </c>
      <c r="B26" s="111">
        <f>B25-B19</f>
        <v>224.67683788857968</v>
      </c>
      <c r="C26" s="106"/>
      <c r="D26" s="132"/>
      <c r="E26" s="148"/>
      <c r="F26" s="159"/>
    </row>
    <row r="27" spans="1:6" hidden="1">
      <c r="A27" s="112"/>
      <c r="B27" s="16"/>
      <c r="C27" s="16"/>
      <c r="D27" s="133"/>
      <c r="E27" s="149"/>
      <c r="F27" s="156"/>
    </row>
    <row r="28" spans="1:6" ht="18" hidden="1">
      <c r="A28" s="194" t="s">
        <v>288</v>
      </c>
      <c r="B28" s="195"/>
      <c r="C28" s="195"/>
      <c r="D28" s="196"/>
      <c r="E28" s="149"/>
      <c r="F28" s="156"/>
    </row>
    <row r="29" spans="1:6" ht="15.75" hidden="1">
      <c r="A29" s="42" t="s">
        <v>292</v>
      </c>
      <c r="B29" s="171">
        <f>'Avg Permeability &amp; CN Calc.'!F18+12</f>
        <v>43</v>
      </c>
      <c r="C29" s="171"/>
      <c r="D29" s="172"/>
      <c r="E29" s="149"/>
      <c r="F29" s="156"/>
    </row>
    <row r="30" spans="1:6" ht="15.75" hidden="1">
      <c r="A30" s="113" t="s">
        <v>257</v>
      </c>
      <c r="B30" s="114" t="str">
        <f>B12</f>
        <v>290a</v>
      </c>
      <c r="C30" s="114" t="str">
        <f>IF(C12&gt;0,C12,"#N/A")</f>
        <v>#N/A</v>
      </c>
      <c r="D30" s="137" t="str">
        <f>IF(D12&gt;0,D12,"#N/A")</f>
        <v>#N/A</v>
      </c>
      <c r="E30" s="149"/>
      <c r="F30" s="156"/>
    </row>
    <row r="31" spans="1:6" ht="15.75" hidden="1">
      <c r="A31" s="42" t="s">
        <v>255</v>
      </c>
      <c r="B31" s="44">
        <f>'Avg Permeability &amp; CN Calc.'!C6</f>
        <v>12.518541247050003</v>
      </c>
      <c r="C31" s="45" t="e">
        <f>'Avg Permeability &amp; CN Calc.'!F6</f>
        <v>#N/A</v>
      </c>
      <c r="D31" s="138" t="e">
        <f>'Avg Permeability &amp; CN Calc.'!I6</f>
        <v>#N/A</v>
      </c>
      <c r="E31" s="149"/>
      <c r="F31" s="156"/>
    </row>
    <row r="32" spans="1:6" ht="15.75" hidden="1">
      <c r="A32" s="42" t="s">
        <v>258</v>
      </c>
      <c r="B32" s="44">
        <f>'Avg Permeability &amp; CN Calc.'!F8</f>
        <v>12.518541247050003</v>
      </c>
      <c r="C32" s="45"/>
      <c r="D32" s="138"/>
      <c r="E32" s="149"/>
      <c r="F32" s="156"/>
    </row>
    <row r="33" spans="1:10" s="86" customFormat="1" ht="31.5" hidden="1">
      <c r="A33" s="115" t="s">
        <v>293</v>
      </c>
      <c r="B33" s="116">
        <f>ROUND(((B32/12)*2*24),4)</f>
        <v>50.074199999999998</v>
      </c>
      <c r="C33" s="117" t="s">
        <v>284</v>
      </c>
      <c r="D33" s="139"/>
      <c r="E33" s="150"/>
      <c r="F33" s="160"/>
    </row>
    <row r="34" spans="1:10" ht="15.75" hidden="1">
      <c r="A34" s="61" t="s">
        <v>271</v>
      </c>
      <c r="B34" s="87">
        <f>FINAL!B26</f>
        <v>224.67683788857968</v>
      </c>
      <c r="C34" s="173" t="s">
        <v>285</v>
      </c>
      <c r="D34" s="174"/>
      <c r="E34" s="149"/>
      <c r="F34" s="156"/>
    </row>
    <row r="35" spans="1:10" ht="15.75" hidden="1">
      <c r="A35" s="43" t="s">
        <v>290</v>
      </c>
      <c r="B35" s="47">
        <f>ROUNDUP((((B29-6-6.42)/12)*2 *0.4)+1.07,10)</f>
        <v>3.1086666667</v>
      </c>
      <c r="C35" s="173" t="s">
        <v>285</v>
      </c>
      <c r="D35" s="174"/>
      <c r="E35" s="149"/>
      <c r="F35" s="156"/>
    </row>
    <row r="36" spans="1:10" ht="15.75" hidden="1">
      <c r="A36" s="43" t="s">
        <v>272</v>
      </c>
      <c r="B36" s="46">
        <f>B$33</f>
        <v>50.074199999999998</v>
      </c>
      <c r="C36" s="173" t="s">
        <v>285</v>
      </c>
      <c r="D36" s="174"/>
      <c r="E36" s="149"/>
      <c r="F36" s="156"/>
    </row>
    <row r="37" spans="1:10" ht="6" customHeight="1">
      <c r="A37" s="189"/>
      <c r="B37" s="190"/>
      <c r="C37" s="190"/>
      <c r="D37" s="191"/>
      <c r="E37" s="151"/>
      <c r="F37" s="161"/>
    </row>
    <row r="38" spans="1:10" ht="18">
      <c r="A38" s="118" t="s">
        <v>305</v>
      </c>
      <c r="B38" s="119">
        <f>ROUNDUP(B34/(B35+B33),0)</f>
        <v>5</v>
      </c>
      <c r="C38" s="120" t="s">
        <v>287</v>
      </c>
      <c r="D38" s="140" t="str">
        <f>IF(B38&lt;=50,"OK","Too Long")</f>
        <v>OK</v>
      </c>
      <c r="E38" s="143"/>
      <c r="F38" s="154"/>
    </row>
    <row r="39" spans="1:10" ht="16.5" hidden="1" customHeight="1">
      <c r="A39" s="124" t="s">
        <v>286</v>
      </c>
      <c r="B39" s="87">
        <f>B33*B38</f>
        <v>250.37099999999998</v>
      </c>
      <c r="C39" s="173" t="s">
        <v>285</v>
      </c>
      <c r="D39" s="174"/>
      <c r="E39" s="143"/>
      <c r="F39" s="154"/>
    </row>
    <row r="40" spans="1:10" ht="16.5" hidden="1" customHeight="1">
      <c r="A40" s="125" t="s">
        <v>290</v>
      </c>
      <c r="B40" s="91">
        <f>B35*B38</f>
        <v>15.5433333335</v>
      </c>
      <c r="C40" s="175" t="s">
        <v>285</v>
      </c>
      <c r="D40" s="176"/>
      <c r="E40" s="143"/>
      <c r="F40" s="154"/>
    </row>
    <row r="41" spans="1:10" ht="16.5" hidden="1" customHeight="1">
      <c r="A41" s="125" t="s">
        <v>291</v>
      </c>
      <c r="B41" s="92">
        <f>B39+B40</f>
        <v>265.9143333335</v>
      </c>
      <c r="C41" s="175" t="s">
        <v>285</v>
      </c>
      <c r="D41" s="176"/>
      <c r="E41" s="143"/>
      <c r="F41" s="154"/>
    </row>
    <row r="42" spans="1:10" ht="18.75" thickBot="1">
      <c r="A42" s="89" t="s">
        <v>304</v>
      </c>
      <c r="B42" s="88">
        <f>B41/B39</f>
        <v>1.0620812048260382</v>
      </c>
      <c r="C42" s="121" t="s">
        <v>276</v>
      </c>
      <c r="D42" s="90" t="str">
        <f>IF(B42&lt;3, "OK", "Too Long")</f>
        <v>OK</v>
      </c>
      <c r="E42" s="143"/>
      <c r="F42" s="154"/>
    </row>
    <row r="46" spans="1:10" hidden="1"/>
    <row r="47" spans="1:10" ht="15.75" hidden="1" thickBot="1"/>
    <row r="48" spans="1:10" ht="15.75" hidden="1" thickBot="1">
      <c r="H48" s="165" t="s">
        <v>278</v>
      </c>
      <c r="I48" s="166"/>
      <c r="J48" s="167"/>
    </row>
    <row r="49" spans="2:10" ht="15.75" hidden="1">
      <c r="H49" s="51">
        <f>FINAL!B33*FINAL!B38</f>
        <v>250.37099999999998</v>
      </c>
      <c r="I49" s="52" t="s">
        <v>256</v>
      </c>
      <c r="J49" s="53" t="s">
        <v>274</v>
      </c>
    </row>
    <row r="50" spans="2:10" ht="16.5" hidden="1" thickBot="1">
      <c r="H50" s="54">
        <f>FINAL!B35*FINAL!B38</f>
        <v>15.5433333335</v>
      </c>
      <c r="I50" s="49" t="s">
        <v>256</v>
      </c>
      <c r="J50" s="55" t="s">
        <v>273</v>
      </c>
    </row>
    <row r="51" spans="2:10" ht="16.5" hidden="1" thickTop="1">
      <c r="H51" s="56">
        <f>SUM(H49:H50)</f>
        <v>265.9143333335</v>
      </c>
      <c r="I51" s="48" t="s">
        <v>256</v>
      </c>
      <c r="J51" s="57" t="s">
        <v>275</v>
      </c>
    </row>
    <row r="52" spans="2:10" ht="15.75" hidden="1" thickBot="1">
      <c r="H52" s="168" t="str">
        <f>IF(H51&gt;=FINAL!B34,"Sufficient Volume","Insufficient Volume")</f>
        <v>Sufficient Volume</v>
      </c>
      <c r="I52" s="169"/>
      <c r="J52" s="170"/>
    </row>
    <row r="53" spans="2:10" ht="15.75" hidden="1">
      <c r="H53" s="59">
        <f>H51/H49</f>
        <v>1.0620812048260382</v>
      </c>
      <c r="I53" s="52" t="s">
        <v>276</v>
      </c>
      <c r="J53" s="60" t="s">
        <v>277</v>
      </c>
    </row>
    <row r="54" spans="2:10" ht="15.75" hidden="1" thickBot="1">
      <c r="H54" s="168" t="str">
        <f>IF(H53&lt;3,"OK","TOO LONG")</f>
        <v>OK</v>
      </c>
      <c r="I54" s="169"/>
      <c r="J54" s="170"/>
    </row>
    <row r="55" spans="2:10" hidden="1"/>
    <row r="56" spans="2:10" hidden="1"/>
    <row r="61" spans="2:10">
      <c r="B61" s="3"/>
    </row>
    <row r="62" spans="2:10">
      <c r="B62" s="3"/>
    </row>
  </sheetData>
  <sheetProtection password="DDCA" sheet="1" objects="1" scenarios="1"/>
  <mergeCells count="17">
    <mergeCell ref="A1:D1"/>
    <mergeCell ref="A2:D2"/>
    <mergeCell ref="A10:D10"/>
    <mergeCell ref="A7:D7"/>
    <mergeCell ref="A37:D37"/>
    <mergeCell ref="B11:D11"/>
    <mergeCell ref="A28:D28"/>
    <mergeCell ref="H48:J48"/>
    <mergeCell ref="H52:J52"/>
    <mergeCell ref="H54:J54"/>
    <mergeCell ref="B29:D29"/>
    <mergeCell ref="C34:D34"/>
    <mergeCell ref="C41:D41"/>
    <mergeCell ref="C35:D35"/>
    <mergeCell ref="C36:D36"/>
    <mergeCell ref="C39:D39"/>
    <mergeCell ref="C40:D40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L21"/>
  <sheetViews>
    <sheetView workbookViewId="0">
      <selection activeCell="H23" sqref="H23"/>
    </sheetView>
  </sheetViews>
  <sheetFormatPr defaultColWidth="9.140625" defaultRowHeight="15"/>
  <cols>
    <col min="1" max="1" width="9.140625" style="1"/>
    <col min="2" max="2" width="30.28515625" style="1" bestFit="1" customWidth="1"/>
    <col min="3" max="3" width="17.5703125" style="1" bestFit="1" customWidth="1"/>
    <col min="4" max="4" width="9.140625" style="1"/>
    <col min="5" max="5" width="37.5703125" style="1" bestFit="1" customWidth="1"/>
    <col min="6" max="6" width="17.5703125" style="1" bestFit="1" customWidth="1"/>
    <col min="7" max="7" width="9.140625" style="1"/>
    <col min="8" max="8" width="30.28515625" style="1" bestFit="1" customWidth="1"/>
    <col min="9" max="9" width="19" style="1" customWidth="1"/>
    <col min="10" max="12" width="9.140625" style="1"/>
    <col min="13" max="13" width="14.85546875" style="1" bestFit="1" customWidth="1"/>
    <col min="14" max="37" width="9.140625" style="1"/>
    <col min="38" max="38" width="9.42578125" style="1" bestFit="1" customWidth="1"/>
    <col min="39" max="16384" width="9.140625" style="1"/>
  </cols>
  <sheetData>
    <row r="3" spans="2:38" ht="30.75" customHeight="1" thickBot="1">
      <c r="B3" s="93"/>
      <c r="C3" s="93"/>
      <c r="D3" s="93"/>
      <c r="E3" s="93"/>
      <c r="F3" s="93"/>
      <c r="G3" s="93"/>
      <c r="H3" s="93"/>
      <c r="I3" s="93"/>
    </row>
    <row r="4" spans="2:38" ht="29.25" customHeight="1">
      <c r="B4" s="94"/>
      <c r="C4" s="95" t="s">
        <v>250</v>
      </c>
      <c r="D4" s="95"/>
      <c r="E4" s="95"/>
      <c r="F4" s="95" t="s">
        <v>250</v>
      </c>
      <c r="G4" s="95"/>
      <c r="H4" s="95"/>
      <c r="I4" s="96" t="s">
        <v>250</v>
      </c>
      <c r="M4" s="2">
        <f>C6</f>
        <v>12.518541247050003</v>
      </c>
    </row>
    <row r="5" spans="2:38" ht="29.25" customHeight="1">
      <c r="B5" s="70"/>
      <c r="C5" s="97" t="str">
        <f>FINAL!B12</f>
        <v>290a</v>
      </c>
      <c r="D5" s="69"/>
      <c r="E5" s="71"/>
      <c r="F5" s="97">
        <f>FINAL!C12</f>
        <v>0</v>
      </c>
      <c r="G5" s="69"/>
      <c r="H5" s="71"/>
      <c r="I5" s="98">
        <f>FINAL!D12</f>
        <v>0</v>
      </c>
      <c r="M5" s="2" t="e">
        <f>F6</f>
        <v>#N/A</v>
      </c>
    </row>
    <row r="6" spans="2:38" ht="31.5" customHeight="1">
      <c r="B6" s="70" t="s">
        <v>243</v>
      </c>
      <c r="C6" s="72">
        <f>VLOOKUP(C5,'Soil Classification'!B3:G64,6,FALSE)</f>
        <v>12.518541247050003</v>
      </c>
      <c r="D6" s="69"/>
      <c r="E6" s="71" t="s">
        <v>243</v>
      </c>
      <c r="F6" s="72" t="e">
        <f>VLOOKUP(F5,'Soil Classification'!B3:G64,6,FALSE)</f>
        <v>#N/A</v>
      </c>
      <c r="G6" s="69"/>
      <c r="H6" s="71" t="s">
        <v>243</v>
      </c>
      <c r="I6" s="73" t="e">
        <f>VLOOKUP(I5,'Soil Classification'!B3:G64,6,FALSE)</f>
        <v>#N/A</v>
      </c>
      <c r="M6" s="2" t="e">
        <f>I6</f>
        <v>#N/A</v>
      </c>
    </row>
    <row r="7" spans="2:38" ht="15.75" thickBot="1">
      <c r="B7" s="74"/>
      <c r="C7" s="69"/>
      <c r="D7" s="69"/>
      <c r="E7" s="69"/>
      <c r="F7" s="69"/>
      <c r="G7" s="69"/>
      <c r="H7" s="69"/>
      <c r="I7" s="75"/>
    </row>
    <row r="8" spans="2:38" ht="16.5" thickBot="1">
      <c r="B8" s="76"/>
      <c r="C8" s="77"/>
      <c r="D8" s="77"/>
      <c r="E8" s="82" t="s">
        <v>283</v>
      </c>
      <c r="F8" s="83">
        <f>AVERAGEIF(M4:M6,"&gt;0",M4:M6)</f>
        <v>12.518541247050003</v>
      </c>
      <c r="G8" s="77"/>
      <c r="H8" s="77"/>
      <c r="I8" s="78"/>
    </row>
    <row r="9" spans="2:38" ht="15.75" thickBot="1"/>
    <row r="10" spans="2:38">
      <c r="B10" s="68" t="s">
        <v>250</v>
      </c>
      <c r="C10" s="79" t="s">
        <v>253</v>
      </c>
      <c r="E10" s="68" t="s">
        <v>250</v>
      </c>
      <c r="F10" s="79" t="s">
        <v>253</v>
      </c>
      <c r="H10" s="68" t="s">
        <v>250</v>
      </c>
      <c r="I10" s="79" t="s">
        <v>253</v>
      </c>
      <c r="M10" s="1">
        <f>C11</f>
        <v>61</v>
      </c>
    </row>
    <row r="11" spans="2:38" ht="15.75" thickBot="1">
      <c r="B11" s="80" t="str">
        <f>C5</f>
        <v>290a</v>
      </c>
      <c r="C11" s="81">
        <f>VLOOKUP(B11,'Soils Types'!B8:H64,7,FALSE)</f>
        <v>61</v>
      </c>
      <c r="E11" s="80">
        <f>F5</f>
        <v>0</v>
      </c>
      <c r="F11" s="81" t="e">
        <f>VLOOKUP(E11,'Soils Types'!B8:H64,7,FALSE)</f>
        <v>#N/A</v>
      </c>
      <c r="H11" s="80">
        <f>I5</f>
        <v>0</v>
      </c>
      <c r="I11" s="81" t="e">
        <f>VLOOKUP(H11,'Soils Types'!B8:H64,7,FALSE)</f>
        <v>#N/A</v>
      </c>
      <c r="M11" s="1" t="e">
        <f>F11</f>
        <v>#N/A</v>
      </c>
    </row>
    <row r="12" spans="2:38" ht="15.75" thickBot="1">
      <c r="F12" s="2"/>
      <c r="M12" s="1" t="e">
        <f>I11</f>
        <v>#N/A</v>
      </c>
    </row>
    <row r="13" spans="2:38" ht="16.5" thickBot="1">
      <c r="E13" s="84" t="s">
        <v>282</v>
      </c>
      <c r="F13" s="85">
        <f>ROUND(AVERAGEIF(M10:M12,"&gt;0",M10:M12),0)</f>
        <v>61</v>
      </c>
    </row>
    <row r="14" spans="2:38" ht="15.75" thickBot="1"/>
    <row r="15" spans="2:38">
      <c r="B15" s="68" t="s">
        <v>250</v>
      </c>
      <c r="C15" s="79" t="s">
        <v>0</v>
      </c>
      <c r="E15" s="68" t="s">
        <v>250</v>
      </c>
      <c r="F15" s="79" t="s">
        <v>0</v>
      </c>
      <c r="H15" s="68" t="s">
        <v>250</v>
      </c>
      <c r="I15" s="79" t="s">
        <v>0</v>
      </c>
      <c r="M15" s="1">
        <f>C16</f>
        <v>31</v>
      </c>
      <c r="AL15" s="1" t="e">
        <f>LOOKUP(AL14,'Avg Permeability &amp; CN Calc.'!A3:A233,G3:G233)</f>
        <v>#N/A</v>
      </c>
    </row>
    <row r="16" spans="2:38" ht="15.75" thickBot="1">
      <c r="B16" s="80" t="str">
        <f>B11</f>
        <v>290a</v>
      </c>
      <c r="C16" s="81">
        <f>VLOOKUP(B16,'Soil Classification'!B3:G64,3,FALSE)</f>
        <v>31</v>
      </c>
      <c r="E16" s="80">
        <f>E11</f>
        <v>0</v>
      </c>
      <c r="F16" s="81" t="e">
        <f>VLOOKUP(E16,'Soil Classification'!B3:G64,3,FALSE)</f>
        <v>#N/A</v>
      </c>
      <c r="H16" s="80">
        <f>H11</f>
        <v>0</v>
      </c>
      <c r="I16" s="81" t="e">
        <f>VLOOKUP(H16,'Soil Classification'!B3:G64,3,FALSE)</f>
        <v>#N/A</v>
      </c>
      <c r="M16" s="1" t="e">
        <f>F16</f>
        <v>#N/A</v>
      </c>
    </row>
    <row r="17" spans="3:13" ht="15.75" thickBot="1">
      <c r="M17" s="1" t="e">
        <f>I16</f>
        <v>#N/A</v>
      </c>
    </row>
    <row r="18" spans="3:13" ht="16.5" thickBot="1">
      <c r="E18" s="84" t="s">
        <v>289</v>
      </c>
      <c r="F18" s="85">
        <f t="array" ref="F18">MAX(IF(ISERROR(M15:M17),0,M15:M17))</f>
        <v>31</v>
      </c>
    </row>
    <row r="20" spans="3:13">
      <c r="C20" s="18"/>
    </row>
    <row r="21" spans="3:13">
      <c r="C21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I64"/>
  <sheetViews>
    <sheetView topLeftCell="F1" zoomScale="115" zoomScaleNormal="115" workbookViewId="0">
      <pane ySplit="2" topLeftCell="A20" activePane="bottomLeft" state="frozen"/>
      <selection pane="bottomLeft" activeCell="Q2" sqref="Q2"/>
    </sheetView>
  </sheetViews>
  <sheetFormatPr defaultColWidth="9.140625" defaultRowHeight="15.75"/>
  <cols>
    <col min="1" max="1" width="0" style="8" hidden="1" customWidth="1"/>
    <col min="2" max="2" width="16.85546875" style="8" bestFit="1" customWidth="1"/>
    <col min="3" max="3" width="27.140625" style="4" bestFit="1" customWidth="1"/>
    <col min="4" max="4" width="6.5703125" style="8" bestFit="1" customWidth="1"/>
    <col min="5" max="5" width="87.28515625" style="8" bestFit="1" customWidth="1"/>
    <col min="6" max="6" width="29.28515625" style="4" bestFit="1" customWidth="1"/>
    <col min="7" max="7" width="28.28515625" style="12" bestFit="1" customWidth="1"/>
    <col min="8" max="8" width="5.5703125" style="11" bestFit="1" customWidth="1"/>
    <col min="9" max="10" width="11.28515625" style="8" bestFit="1" customWidth="1"/>
    <col min="11" max="12" width="13.7109375" style="8" bestFit="1" customWidth="1"/>
    <col min="13" max="13" width="11.28515625" style="8" bestFit="1" customWidth="1"/>
    <col min="14" max="17" width="13.7109375" style="8" bestFit="1" customWidth="1"/>
    <col min="18" max="20" width="12.42578125" style="8" bestFit="1" customWidth="1"/>
    <col min="21" max="21" width="13.7109375" style="8" bestFit="1" customWidth="1"/>
    <col min="22" max="22" width="11.28515625" style="8" bestFit="1" customWidth="1"/>
    <col min="23" max="32" width="13.7109375" style="8" bestFit="1" customWidth="1"/>
    <col min="33" max="33" width="2.85546875" style="8" bestFit="1" customWidth="1"/>
    <col min="34" max="34" width="10.85546875" style="8" bestFit="1" customWidth="1"/>
    <col min="35" max="35" width="10.140625" style="8" bestFit="1" customWidth="1"/>
    <col min="36" max="36" width="12" style="8" bestFit="1" customWidth="1"/>
    <col min="37" max="37" width="9.140625" style="8"/>
    <col min="38" max="38" width="27.42578125" style="8" bestFit="1" customWidth="1"/>
    <col min="39" max="39" width="10.5703125" style="8" bestFit="1" customWidth="1"/>
    <col min="40" max="40" width="9.140625" style="8"/>
    <col min="41" max="41" width="27.42578125" style="8" bestFit="1" customWidth="1"/>
    <col min="42" max="42" width="10.5703125" style="8" bestFit="1" customWidth="1"/>
    <col min="43" max="16384" width="9.140625" style="8"/>
  </cols>
  <sheetData>
    <row r="1" spans="2:35" s="5" customFormat="1">
      <c r="B1" s="197" t="s">
        <v>145</v>
      </c>
      <c r="C1" s="197" t="s">
        <v>144</v>
      </c>
      <c r="D1" s="6" t="s">
        <v>0</v>
      </c>
      <c r="E1" s="6" t="s">
        <v>1</v>
      </c>
      <c r="F1" s="10" t="s">
        <v>2</v>
      </c>
      <c r="G1" s="198" t="s">
        <v>243</v>
      </c>
      <c r="H1" s="14"/>
      <c r="I1" s="7" t="s">
        <v>30</v>
      </c>
      <c r="J1" s="7" t="s">
        <v>31</v>
      </c>
      <c r="K1" s="7" t="s">
        <v>32</v>
      </c>
      <c r="L1" s="7" t="s">
        <v>134</v>
      </c>
      <c r="M1" s="7" t="s">
        <v>33</v>
      </c>
      <c r="N1" s="7" t="s">
        <v>34</v>
      </c>
      <c r="O1" s="7" t="s">
        <v>35</v>
      </c>
      <c r="P1" s="7" t="s">
        <v>36</v>
      </c>
      <c r="Q1" s="7" t="s">
        <v>135</v>
      </c>
      <c r="R1" s="7" t="s">
        <v>37</v>
      </c>
      <c r="S1" s="7" t="s">
        <v>38</v>
      </c>
      <c r="T1" s="7" t="s">
        <v>39</v>
      </c>
      <c r="U1" s="7" t="s">
        <v>27</v>
      </c>
      <c r="V1" s="7" t="s">
        <v>26</v>
      </c>
      <c r="W1" s="7" t="s">
        <v>46</v>
      </c>
      <c r="X1" s="7" t="s">
        <v>25</v>
      </c>
      <c r="Y1" s="7" t="s">
        <v>8</v>
      </c>
      <c r="Z1" s="7" t="s">
        <v>45</v>
      </c>
      <c r="AA1" s="7" t="s">
        <v>40</v>
      </c>
      <c r="AB1" s="7" t="s">
        <v>28</v>
      </c>
      <c r="AC1" s="7" t="s">
        <v>29</v>
      </c>
      <c r="AD1" s="7" t="s">
        <v>41</v>
      </c>
      <c r="AE1" s="7" t="s">
        <v>42</v>
      </c>
      <c r="AF1" s="7" t="s">
        <v>43</v>
      </c>
      <c r="AG1" s="7" t="s">
        <v>44</v>
      </c>
      <c r="AH1" s="197" t="s">
        <v>249</v>
      </c>
      <c r="AI1" s="197"/>
    </row>
    <row r="2" spans="2:35" s="5" customFormat="1" ht="31.5">
      <c r="B2" s="197"/>
      <c r="C2" s="197"/>
      <c r="D2" s="6" t="s">
        <v>4</v>
      </c>
      <c r="E2" s="6"/>
      <c r="F2" s="10" t="s">
        <v>3</v>
      </c>
      <c r="G2" s="198"/>
      <c r="H2" s="14"/>
      <c r="I2" s="8">
        <v>24.852363000000004</v>
      </c>
      <c r="J2" s="8">
        <v>24.852363000000004</v>
      </c>
      <c r="K2" s="8">
        <v>2.4852363000000001E-3</v>
      </c>
      <c r="L2" s="8">
        <f>(J2+K2)/2</f>
        <v>12.427424118150002</v>
      </c>
      <c r="M2" s="8">
        <v>2.1653544</v>
      </c>
      <c r="N2" s="8">
        <v>2.4630906299999999E-3</v>
      </c>
      <c r="O2" s="8">
        <v>4.9704725999999996E-4</v>
      </c>
      <c r="P2" s="8">
        <v>0.275836623</v>
      </c>
      <c r="Q2" s="8">
        <f>(P2+U2)/2</f>
        <v>0.13915108712999999</v>
      </c>
      <c r="R2" s="8">
        <v>4.9261812599999999</v>
      </c>
      <c r="S2" s="8">
        <v>198.81890400000003</v>
      </c>
      <c r="T2" s="8">
        <v>1.98818904</v>
      </c>
      <c r="U2" s="8">
        <v>2.4655512600000001E-3</v>
      </c>
      <c r="V2" s="8">
        <v>2.7093996929999998E-3</v>
      </c>
      <c r="W2" s="8">
        <f>(U2+V2)/2</f>
        <v>2.5874754764999997E-3</v>
      </c>
      <c r="X2" s="8">
        <v>4.9458662999999996E-4</v>
      </c>
      <c r="Y2" s="8">
        <v>2.4852362999999995E-5</v>
      </c>
      <c r="Z2" s="8">
        <f>(Y2+X2)/2</f>
        <v>2.5971949649999997E-4</v>
      </c>
      <c r="AA2" s="8">
        <v>5.1673229999999987E-5</v>
      </c>
      <c r="AB2" s="8">
        <v>2.4655512599999994E-5</v>
      </c>
      <c r="AC2" s="8">
        <v>4.9261812599999992E-5</v>
      </c>
      <c r="AD2" s="8">
        <v>3.4793308200000003E-5</v>
      </c>
      <c r="AE2" s="8">
        <v>4.92126E-7</v>
      </c>
      <c r="AF2" s="8">
        <v>4.9458662999999993E-5</v>
      </c>
      <c r="AG2" s="8"/>
      <c r="AH2" s="10" t="s">
        <v>251</v>
      </c>
      <c r="AI2" s="9" t="s">
        <v>248</v>
      </c>
    </row>
    <row r="3" spans="2:35">
      <c r="B3" s="4" t="s">
        <v>136</v>
      </c>
      <c r="C3" s="4" t="s">
        <v>137</v>
      </c>
      <c r="D3" s="8">
        <v>30</v>
      </c>
      <c r="E3" s="4" t="s">
        <v>7</v>
      </c>
      <c r="F3" s="4" t="s">
        <v>8</v>
      </c>
      <c r="G3" s="12">
        <f>ROUND($Y$2,10)</f>
        <v>2.4852399999999999E-5</v>
      </c>
      <c r="H3" s="15"/>
    </row>
    <row r="4" spans="2:35">
      <c r="B4" s="4" t="s">
        <v>138</v>
      </c>
      <c r="C4" s="4" t="s">
        <v>139</v>
      </c>
      <c r="D4" s="8">
        <v>0</v>
      </c>
      <c r="E4" s="4" t="s">
        <v>5</v>
      </c>
      <c r="F4" s="4" t="s">
        <v>6</v>
      </c>
      <c r="G4" s="12">
        <f>ROUND($AG$2,10)</f>
        <v>0</v>
      </c>
      <c r="H4" s="15"/>
    </row>
    <row r="5" spans="2:35">
      <c r="B5" s="4" t="s">
        <v>140</v>
      </c>
      <c r="C5" s="4" t="s">
        <v>141</v>
      </c>
      <c r="D5" s="8">
        <v>0</v>
      </c>
      <c r="E5" s="4" t="s">
        <v>9</v>
      </c>
      <c r="F5" s="4" t="s">
        <v>8</v>
      </c>
      <c r="G5" s="12">
        <f>ROUND($Y$2,10)</f>
        <v>2.4852399999999999E-5</v>
      </c>
      <c r="H5" s="15"/>
    </row>
    <row r="6" spans="2:35">
      <c r="B6" s="4" t="s">
        <v>240</v>
      </c>
      <c r="C6" s="4" t="s">
        <v>199</v>
      </c>
      <c r="D6" s="8">
        <v>47</v>
      </c>
      <c r="E6" s="4" t="s">
        <v>120</v>
      </c>
      <c r="F6" s="4" t="s">
        <v>12</v>
      </c>
      <c r="G6" s="12">
        <f>ROUND(($Y$2+$Z$2)/2,10)</f>
        <v>1.4228590000000001E-4</v>
      </c>
      <c r="H6" s="15"/>
    </row>
    <row r="7" spans="2:35">
      <c r="B7" s="4" t="s">
        <v>142</v>
      </c>
      <c r="C7" s="4" t="s">
        <v>143</v>
      </c>
      <c r="D7" s="8">
        <v>52</v>
      </c>
      <c r="E7" s="4" t="s">
        <v>16</v>
      </c>
      <c r="F7" s="4" t="s">
        <v>17</v>
      </c>
      <c r="G7" s="12">
        <f>ROUND(($U$2+$W$2+$Y$2)/3,10)</f>
        <v>1.6926263999999999E-3</v>
      </c>
      <c r="H7" s="15"/>
    </row>
    <row r="8" spans="2:35">
      <c r="B8" s="4" t="s">
        <v>146</v>
      </c>
      <c r="C8" s="4" t="s">
        <v>147</v>
      </c>
      <c r="D8" s="8">
        <v>41</v>
      </c>
      <c r="E8" s="4" t="s">
        <v>10</v>
      </c>
      <c r="F8" s="4" t="s">
        <v>8</v>
      </c>
      <c r="G8" s="12">
        <f>ROUND($Y$2,10)</f>
        <v>2.4852399999999999E-5</v>
      </c>
      <c r="H8" s="15"/>
    </row>
    <row r="9" spans="2:35">
      <c r="B9" s="4" t="s">
        <v>148</v>
      </c>
      <c r="C9" s="4" t="s">
        <v>149</v>
      </c>
      <c r="D9" s="8">
        <v>53</v>
      </c>
      <c r="E9" s="4" t="s">
        <v>294</v>
      </c>
      <c r="F9" s="4" t="s">
        <v>8</v>
      </c>
      <c r="G9" s="12">
        <f>ROUND($Y$2,10)</f>
        <v>2.4852399999999999E-5</v>
      </c>
      <c r="H9" s="15"/>
      <c r="AH9" s="8" t="s">
        <v>244</v>
      </c>
      <c r="AI9" s="8">
        <v>3.5</v>
      </c>
    </row>
    <row r="10" spans="2:35">
      <c r="B10" s="4" t="s">
        <v>150</v>
      </c>
      <c r="C10" s="4" t="s">
        <v>151</v>
      </c>
      <c r="D10" s="8">
        <v>46</v>
      </c>
      <c r="E10" s="4" t="s">
        <v>48</v>
      </c>
      <c r="F10" s="4" t="s">
        <v>49</v>
      </c>
      <c r="G10" s="12">
        <f>ROUND(($W$2+$V$2+$Z$2+$Y$2)/4,10)</f>
        <v>1.3953618E-3</v>
      </c>
      <c r="H10" s="15"/>
    </row>
    <row r="11" spans="2:35">
      <c r="B11" s="4" t="s">
        <v>152</v>
      </c>
      <c r="C11" s="4" t="s">
        <v>153</v>
      </c>
      <c r="D11" s="8">
        <v>62</v>
      </c>
      <c r="E11" s="4" t="s">
        <v>52</v>
      </c>
      <c r="F11" s="4" t="s">
        <v>53</v>
      </c>
      <c r="G11" s="12">
        <f>ROUND(($V$2+$W$2+$Y$2)/3,10)</f>
        <v>1.7739092E-3</v>
      </c>
      <c r="H11" s="15"/>
    </row>
    <row r="12" spans="2:35">
      <c r="B12" s="4" t="s">
        <v>155</v>
      </c>
      <c r="C12" s="4" t="s">
        <v>154</v>
      </c>
      <c r="D12" s="8">
        <v>55</v>
      </c>
      <c r="E12" s="4" t="s">
        <v>55</v>
      </c>
      <c r="F12" s="4" t="s">
        <v>51</v>
      </c>
      <c r="G12" s="12">
        <f>ROUND(($Y$2+$V$2)/2,10)</f>
        <v>1.367126E-3</v>
      </c>
      <c r="H12" s="15"/>
    </row>
    <row r="13" spans="2:35">
      <c r="B13" s="4" t="s">
        <v>157</v>
      </c>
      <c r="C13" s="4" t="s">
        <v>156</v>
      </c>
      <c r="D13" s="8">
        <v>51</v>
      </c>
      <c r="E13" s="4" t="s">
        <v>57</v>
      </c>
      <c r="F13" s="4" t="s">
        <v>58</v>
      </c>
      <c r="G13" s="12">
        <f>ROUND(($U$2+$W$2+$V$2+$Z$2+$Y$2)/5,10)</f>
        <v>1.6093997000000001E-3</v>
      </c>
      <c r="H13" s="15"/>
    </row>
    <row r="14" spans="2:35">
      <c r="B14" s="4" t="s">
        <v>158</v>
      </c>
      <c r="C14" s="4" t="s">
        <v>159</v>
      </c>
      <c r="D14" s="8">
        <v>38</v>
      </c>
      <c r="E14" s="4" t="s">
        <v>59</v>
      </c>
      <c r="F14" s="4" t="s">
        <v>51</v>
      </c>
      <c r="G14" s="12">
        <f>ROUND(($Y$2+$V$2)/2,10)</f>
        <v>1.367126E-3</v>
      </c>
      <c r="H14" s="15"/>
    </row>
    <row r="15" spans="2:35">
      <c r="B15" s="4" t="s">
        <v>160</v>
      </c>
      <c r="C15" s="4" t="s">
        <v>161</v>
      </c>
      <c r="D15" s="8">
        <v>0</v>
      </c>
      <c r="E15" s="4" t="s">
        <v>5</v>
      </c>
      <c r="F15" s="4" t="s">
        <v>6</v>
      </c>
      <c r="G15" s="12">
        <f>ROUND($AG$2,10)</f>
        <v>0</v>
      </c>
      <c r="H15" s="15"/>
    </row>
    <row r="16" spans="2:35">
      <c r="B16" s="4" t="s">
        <v>162</v>
      </c>
      <c r="C16" s="4" t="s">
        <v>163</v>
      </c>
      <c r="D16" s="8">
        <v>41</v>
      </c>
      <c r="E16" s="4" t="s">
        <v>11</v>
      </c>
      <c r="F16" s="4" t="s">
        <v>62</v>
      </c>
      <c r="G16" s="12">
        <f>ROUND(($Y$2+$X$2+$V$2+$U$2)/4,10)</f>
        <v>1.4235974999999999E-3</v>
      </c>
      <c r="H16" s="15"/>
    </row>
    <row r="17" spans="2:8">
      <c r="B17" s="4" t="s">
        <v>164</v>
      </c>
      <c r="C17" s="4" t="s">
        <v>165</v>
      </c>
      <c r="D17" s="8">
        <v>0</v>
      </c>
      <c r="E17" s="4" t="s">
        <v>9</v>
      </c>
      <c r="F17" s="4" t="s">
        <v>8</v>
      </c>
      <c r="G17" s="12">
        <f>ROUND($Y$2,10)</f>
        <v>2.4852399999999999E-5</v>
      </c>
      <c r="H17" s="15"/>
    </row>
    <row r="18" spans="2:8">
      <c r="B18" s="4" t="s">
        <v>166</v>
      </c>
      <c r="C18" s="4" t="s">
        <v>167</v>
      </c>
      <c r="D18" s="8">
        <v>0</v>
      </c>
      <c r="E18" s="4" t="s">
        <v>10</v>
      </c>
      <c r="F18" s="4" t="s">
        <v>65</v>
      </c>
      <c r="G18" s="12">
        <f>ROUND(($AC$2+$AB$2)/2,10)</f>
        <v>3.6958700000000002E-5</v>
      </c>
      <c r="H18" s="15"/>
    </row>
    <row r="19" spans="2:8">
      <c r="B19" s="4" t="s">
        <v>168</v>
      </c>
      <c r="C19" s="4" t="s">
        <v>169</v>
      </c>
      <c r="D19" s="8">
        <v>31</v>
      </c>
      <c r="E19" s="4" t="s">
        <v>68</v>
      </c>
      <c r="F19" s="4" t="s">
        <v>69</v>
      </c>
      <c r="G19" s="12">
        <f>($J$2+$P$2+$L$2)/3</f>
        <v>12.518541247050003</v>
      </c>
      <c r="H19" s="15"/>
    </row>
    <row r="20" spans="2:8">
      <c r="B20" s="4" t="s">
        <v>170</v>
      </c>
      <c r="C20" s="4" t="s">
        <v>169</v>
      </c>
      <c r="D20" s="8">
        <v>29</v>
      </c>
      <c r="E20" s="4" t="s">
        <v>70</v>
      </c>
      <c r="F20" s="4" t="s">
        <v>71</v>
      </c>
      <c r="G20" s="12">
        <f>ROUND(($J$2+$P$2+$L$2)/3,10)</f>
        <v>12.5185412471</v>
      </c>
      <c r="H20" s="15"/>
    </row>
    <row r="21" spans="2:8">
      <c r="B21" s="4" t="s">
        <v>171</v>
      </c>
      <c r="C21" s="4" t="s">
        <v>169</v>
      </c>
      <c r="D21" s="8">
        <v>28</v>
      </c>
      <c r="E21" s="4" t="s">
        <v>70</v>
      </c>
      <c r="F21" s="4" t="s">
        <v>69</v>
      </c>
      <c r="G21" s="12">
        <f>($J$2+$P$2+$L$2)/3</f>
        <v>12.518541247050003</v>
      </c>
      <c r="H21" s="15"/>
    </row>
    <row r="22" spans="2:8">
      <c r="B22" s="4" t="s">
        <v>173</v>
      </c>
      <c r="C22" s="4" t="s">
        <v>172</v>
      </c>
      <c r="D22" s="8">
        <v>36</v>
      </c>
      <c r="E22" s="4" t="s">
        <v>295</v>
      </c>
      <c r="F22" s="4" t="s">
        <v>26</v>
      </c>
      <c r="G22" s="12">
        <f>ROUND($V$2,10)</f>
        <v>2.7093997000000002E-3</v>
      </c>
      <c r="H22" s="15"/>
    </row>
    <row r="23" spans="2:8">
      <c r="B23" s="4" t="s">
        <v>174</v>
      </c>
      <c r="C23" s="4" t="s">
        <v>175</v>
      </c>
      <c r="D23" s="8">
        <v>0</v>
      </c>
      <c r="E23" s="4" t="s">
        <v>9</v>
      </c>
      <c r="F23" s="4" t="s">
        <v>25</v>
      </c>
      <c r="G23" s="12">
        <f>ROUND($X$2,10)</f>
        <v>4.9458659999999997E-4</v>
      </c>
      <c r="H23" s="15"/>
    </row>
    <row r="24" spans="2:8">
      <c r="B24" s="4" t="s">
        <v>176</v>
      </c>
      <c r="C24" s="4" t="s">
        <v>175</v>
      </c>
      <c r="D24" s="8">
        <v>0</v>
      </c>
      <c r="E24" s="4" t="s">
        <v>9</v>
      </c>
      <c r="F24" s="4" t="s">
        <v>25</v>
      </c>
      <c r="G24" s="12">
        <f>ROUND($X$2,10)</f>
        <v>4.9458659999999997E-4</v>
      </c>
      <c r="H24" s="15"/>
    </row>
    <row r="25" spans="2:8">
      <c r="B25" s="4" t="s">
        <v>179</v>
      </c>
      <c r="C25" s="4" t="s">
        <v>178</v>
      </c>
      <c r="D25" s="8">
        <v>18</v>
      </c>
      <c r="E25" s="4" t="s">
        <v>78</v>
      </c>
      <c r="F25" s="4" t="s">
        <v>79</v>
      </c>
      <c r="G25" s="12">
        <f t="shared" ref="G25:G30" si="0">ROUND(($J$2+$L$2+$P$2+$Q$2)/4,10)</f>
        <v>9.4236937071</v>
      </c>
      <c r="H25" s="15"/>
    </row>
    <row r="26" spans="2:8">
      <c r="B26" s="4" t="s">
        <v>180</v>
      </c>
      <c r="C26" s="4" t="s">
        <v>178</v>
      </c>
      <c r="D26" s="8">
        <v>18</v>
      </c>
      <c r="E26" s="4" t="s">
        <v>78</v>
      </c>
      <c r="F26" s="4" t="s">
        <v>79</v>
      </c>
      <c r="G26" s="12">
        <f t="shared" si="0"/>
        <v>9.4236937071</v>
      </c>
      <c r="H26" s="15"/>
    </row>
    <row r="27" spans="2:8">
      <c r="B27" s="4" t="s">
        <v>181</v>
      </c>
      <c r="C27" s="4" t="s">
        <v>182</v>
      </c>
      <c r="D27" s="8">
        <v>20</v>
      </c>
      <c r="E27" s="4" t="s">
        <v>82</v>
      </c>
      <c r="F27" s="4" t="s">
        <v>79</v>
      </c>
      <c r="G27" s="12">
        <f t="shared" si="0"/>
        <v>9.4236937071</v>
      </c>
      <c r="H27" s="15"/>
    </row>
    <row r="28" spans="2:8">
      <c r="B28" s="4" t="s">
        <v>183</v>
      </c>
      <c r="C28" s="4" t="s">
        <v>182</v>
      </c>
      <c r="D28" s="8">
        <v>17</v>
      </c>
      <c r="E28" s="4" t="s">
        <v>82</v>
      </c>
      <c r="F28" s="4" t="s">
        <v>79</v>
      </c>
      <c r="G28" s="12">
        <f t="shared" si="0"/>
        <v>9.4236937071</v>
      </c>
      <c r="H28" s="15"/>
    </row>
    <row r="29" spans="2:8">
      <c r="B29" s="4" t="s">
        <v>184</v>
      </c>
      <c r="C29" s="4" t="s">
        <v>185</v>
      </c>
      <c r="D29" s="8">
        <v>19</v>
      </c>
      <c r="E29" s="4" t="s">
        <v>82</v>
      </c>
      <c r="F29" s="4" t="s">
        <v>79</v>
      </c>
      <c r="G29" s="12">
        <f t="shared" si="0"/>
        <v>9.4236937071</v>
      </c>
      <c r="H29" s="15"/>
    </row>
    <row r="30" spans="2:8">
      <c r="B30" s="4" t="s">
        <v>186</v>
      </c>
      <c r="C30" s="4" t="s">
        <v>185</v>
      </c>
      <c r="D30" s="8">
        <v>12</v>
      </c>
      <c r="E30" s="4" t="s">
        <v>82</v>
      </c>
      <c r="F30" s="4" t="s">
        <v>79</v>
      </c>
      <c r="G30" s="12">
        <f t="shared" si="0"/>
        <v>9.4236937071</v>
      </c>
      <c r="H30" s="15"/>
    </row>
    <row r="31" spans="2:8">
      <c r="B31" s="4" t="s">
        <v>187</v>
      </c>
      <c r="C31" s="4" t="s">
        <v>188</v>
      </c>
      <c r="D31" s="8">
        <v>33</v>
      </c>
      <c r="E31" s="4" t="s">
        <v>85</v>
      </c>
      <c r="F31" s="4" t="s">
        <v>86</v>
      </c>
      <c r="G31" s="12">
        <f>ROUND($Q$2,10)</f>
        <v>0.13915108709999999</v>
      </c>
      <c r="H31" s="15"/>
    </row>
    <row r="32" spans="2:8">
      <c r="B32" s="4" t="s">
        <v>189</v>
      </c>
      <c r="C32" s="4" t="s">
        <v>188</v>
      </c>
      <c r="D32" s="8">
        <v>32</v>
      </c>
      <c r="E32" s="4" t="s">
        <v>88</v>
      </c>
      <c r="F32" s="4" t="s">
        <v>89</v>
      </c>
      <c r="G32" s="12">
        <f>ROUND($L$2,10)</f>
        <v>12.427424118199999</v>
      </c>
      <c r="H32" s="15"/>
    </row>
    <row r="33" spans="2:35">
      <c r="B33" s="4" t="s">
        <v>190</v>
      </c>
      <c r="C33" s="4" t="s">
        <v>191</v>
      </c>
      <c r="D33" s="8">
        <v>31</v>
      </c>
      <c r="E33" s="4" t="s">
        <v>92</v>
      </c>
      <c r="F33" s="4" t="s">
        <v>93</v>
      </c>
      <c r="G33" s="12">
        <f>ROUND(($J$2+$L$2+$P$2+$Q$2+$U$2)/5,10)</f>
        <v>7.5394480759000002</v>
      </c>
      <c r="H33" s="15"/>
    </row>
    <row r="34" spans="2:35">
      <c r="B34" s="4" t="s">
        <v>195</v>
      </c>
      <c r="C34" s="4" t="s">
        <v>191</v>
      </c>
      <c r="D34" s="8">
        <v>32</v>
      </c>
      <c r="E34" s="4" t="s">
        <v>94</v>
      </c>
      <c r="F34" s="4" t="s">
        <v>95</v>
      </c>
      <c r="G34" s="12">
        <f>ROUND(($J$2+$Q$2)/2,10)</f>
        <v>12.495757043599999</v>
      </c>
      <c r="H34" s="15"/>
      <c r="AH34" s="8" t="s">
        <v>245</v>
      </c>
      <c r="AI34" s="8">
        <v>3</v>
      </c>
    </row>
    <row r="35" spans="2:35">
      <c r="B35" s="4" t="s">
        <v>194</v>
      </c>
      <c r="C35" s="4" t="s">
        <v>191</v>
      </c>
      <c r="D35" s="8">
        <v>32</v>
      </c>
      <c r="E35" s="4" t="s">
        <v>94</v>
      </c>
      <c r="F35" s="4" t="s">
        <v>95</v>
      </c>
      <c r="G35" s="12">
        <f>ROUND(($J$2+$Q$2)/2,10)</f>
        <v>12.495757043599999</v>
      </c>
      <c r="H35" s="15"/>
    </row>
    <row r="36" spans="2:35">
      <c r="B36" s="4" t="s">
        <v>193</v>
      </c>
      <c r="C36" s="4" t="s">
        <v>192</v>
      </c>
      <c r="D36" s="8">
        <v>33</v>
      </c>
      <c r="E36" s="4" t="s">
        <v>96</v>
      </c>
      <c r="F36" s="4" t="s">
        <v>79</v>
      </c>
      <c r="G36" s="12">
        <f>ROUND(($J$2+$L$2+$P$2+$Q$2)/4,10)</f>
        <v>9.4236937071</v>
      </c>
      <c r="H36" s="15"/>
    </row>
    <row r="37" spans="2:35">
      <c r="B37" s="4" t="s">
        <v>196</v>
      </c>
      <c r="C37" s="4" t="s">
        <v>197</v>
      </c>
      <c r="D37" s="8">
        <v>28</v>
      </c>
      <c r="E37" s="4" t="s">
        <v>98</v>
      </c>
      <c r="F37" s="4" t="s">
        <v>79</v>
      </c>
      <c r="G37" s="12">
        <f>ROUND(($J$2+$L$2+$P$2+$Q$2)/4,10)</f>
        <v>9.4236937071</v>
      </c>
      <c r="H37" s="15"/>
    </row>
    <row r="38" spans="2:35">
      <c r="B38" s="4" t="s">
        <v>198</v>
      </c>
      <c r="C38" s="4" t="s">
        <v>199</v>
      </c>
      <c r="D38" s="8">
        <v>27</v>
      </c>
      <c r="E38" s="4" t="s">
        <v>22</v>
      </c>
      <c r="F38" s="4" t="s">
        <v>21</v>
      </c>
      <c r="G38" s="12">
        <f>ROUND(($Y$2+$AC$2)/2,10)</f>
        <v>3.7057100000000001E-5</v>
      </c>
      <c r="H38" s="15"/>
    </row>
    <row r="39" spans="2:35">
      <c r="B39" s="4" t="s">
        <v>200</v>
      </c>
      <c r="C39" s="4" t="s">
        <v>201</v>
      </c>
      <c r="D39" s="8">
        <v>29</v>
      </c>
      <c r="E39" s="4" t="s">
        <v>101</v>
      </c>
      <c r="F39" s="4" t="s">
        <v>79</v>
      </c>
      <c r="G39" s="12">
        <f>ROUND(($J$2+$L$2+$P$2+$Q$2)/4,10)</f>
        <v>9.4236937071</v>
      </c>
      <c r="H39" s="15"/>
    </row>
    <row r="40" spans="2:35">
      <c r="B40" s="4" t="s">
        <v>202</v>
      </c>
      <c r="C40" s="4" t="s">
        <v>203</v>
      </c>
      <c r="D40" s="8">
        <v>56</v>
      </c>
      <c r="E40" s="4" t="s">
        <v>11</v>
      </c>
      <c r="F40" s="4" t="s">
        <v>103</v>
      </c>
      <c r="G40" s="12">
        <f>($Y$2+$Z$2+$W$2+$V$2)/4</f>
        <v>1.3953617572499998E-3</v>
      </c>
      <c r="H40" s="15"/>
    </row>
    <row r="41" spans="2:35">
      <c r="B41" s="4" t="s">
        <v>204</v>
      </c>
      <c r="C41" s="4" t="s">
        <v>205</v>
      </c>
      <c r="D41" s="8">
        <v>11</v>
      </c>
      <c r="E41" s="4" t="s">
        <v>104</v>
      </c>
      <c r="F41" s="4" t="s">
        <v>26</v>
      </c>
      <c r="G41" s="12">
        <f>ROUND($V$2,10)</f>
        <v>2.7093997000000002E-3</v>
      </c>
      <c r="H41" s="15"/>
    </row>
    <row r="42" spans="2:35">
      <c r="B42" s="4" t="s">
        <v>211</v>
      </c>
      <c r="C42" s="4" t="s">
        <v>205</v>
      </c>
      <c r="D42" s="8">
        <v>28</v>
      </c>
      <c r="E42" s="4" t="s">
        <v>108</v>
      </c>
      <c r="F42" s="4" t="s">
        <v>109</v>
      </c>
      <c r="G42" s="12">
        <f>ROUND(($M$2+$W$2)/2,10)</f>
        <v>1.0839709377</v>
      </c>
      <c r="H42" s="15"/>
    </row>
    <row r="43" spans="2:35">
      <c r="B43" s="4" t="s">
        <v>210</v>
      </c>
      <c r="C43" s="4" t="s">
        <v>205</v>
      </c>
      <c r="D43" s="8">
        <v>0</v>
      </c>
      <c r="E43" s="4" t="s">
        <v>48</v>
      </c>
      <c r="F43" s="4" t="s">
        <v>8</v>
      </c>
      <c r="G43" s="12">
        <f>ROUND($Y$2,10)</f>
        <v>2.4852399999999999E-5</v>
      </c>
      <c r="H43" s="15"/>
    </row>
    <row r="44" spans="2:35">
      <c r="B44" s="4" t="s">
        <v>209</v>
      </c>
      <c r="C44" s="4" t="s">
        <v>206</v>
      </c>
      <c r="D44" s="8">
        <v>0</v>
      </c>
      <c r="E44" s="4" t="s">
        <v>83</v>
      </c>
      <c r="F44" s="4" t="s">
        <v>8</v>
      </c>
      <c r="G44" s="12">
        <f>ROUND($Y$2,10)</f>
        <v>2.4852399999999999E-5</v>
      </c>
      <c r="H44" s="15"/>
    </row>
    <row r="45" spans="2:35">
      <c r="B45" s="4" t="s">
        <v>208</v>
      </c>
      <c r="C45" s="4" t="s">
        <v>205</v>
      </c>
      <c r="D45" s="8">
        <v>0</v>
      </c>
      <c r="E45" s="4" t="s">
        <v>48</v>
      </c>
      <c r="F45" s="4" t="s">
        <v>8</v>
      </c>
      <c r="G45" s="12">
        <f>ROUND($Y$2,10)</f>
        <v>2.4852399999999999E-5</v>
      </c>
      <c r="H45" s="15"/>
    </row>
    <row r="46" spans="2:35">
      <c r="B46" s="4" t="s">
        <v>207</v>
      </c>
      <c r="C46" s="4" t="s">
        <v>206</v>
      </c>
      <c r="D46" s="8">
        <v>23</v>
      </c>
      <c r="E46" s="4" t="s">
        <v>76</v>
      </c>
      <c r="F46" s="4" t="s">
        <v>111</v>
      </c>
      <c r="G46" s="12">
        <f>ROUND(($U$2+$W$2+$V$2)/3,10)</f>
        <v>2.5874754999999998E-3</v>
      </c>
      <c r="H46" s="15"/>
    </row>
    <row r="47" spans="2:35">
      <c r="B47" s="4" t="s">
        <v>212</v>
      </c>
      <c r="C47" s="4" t="s">
        <v>213</v>
      </c>
      <c r="D47" s="8">
        <v>0</v>
      </c>
      <c r="E47" s="4" t="s">
        <v>48</v>
      </c>
      <c r="F47" s="4" t="s">
        <v>8</v>
      </c>
      <c r="G47" s="12">
        <f>ROUND($Y$2,10)</f>
        <v>2.4852399999999999E-5</v>
      </c>
      <c r="H47" s="15"/>
    </row>
    <row r="48" spans="2:35">
      <c r="B48" s="4" t="s">
        <v>214</v>
      </c>
      <c r="C48" s="4" t="s">
        <v>215</v>
      </c>
      <c r="D48" s="8">
        <v>55</v>
      </c>
      <c r="E48" s="4" t="s">
        <v>114</v>
      </c>
      <c r="F48" s="4" t="s">
        <v>79</v>
      </c>
      <c r="G48" s="12">
        <f>ROUND(($J$2+$L$2+$P$2+$Q$2)/4,10)</f>
        <v>9.4236937071</v>
      </c>
    </row>
    <row r="49" spans="2:7">
      <c r="B49" s="4" t="s">
        <v>216</v>
      </c>
      <c r="C49" s="4" t="s">
        <v>217</v>
      </c>
      <c r="D49" s="8">
        <v>44</v>
      </c>
      <c r="E49" s="4" t="s">
        <v>115</v>
      </c>
      <c r="F49" s="4" t="s">
        <v>116</v>
      </c>
      <c r="G49" s="12">
        <f>ROUND(($U$2+$Q$2)/2,10)</f>
        <v>7.0808319199999997E-2</v>
      </c>
    </row>
    <row r="50" spans="2:7">
      <c r="B50" s="4" t="s">
        <v>218</v>
      </c>
      <c r="C50" s="4" t="s">
        <v>219</v>
      </c>
      <c r="D50" s="8">
        <v>44</v>
      </c>
      <c r="E50" s="4" t="s">
        <v>118</v>
      </c>
      <c r="F50" s="4" t="s">
        <v>119</v>
      </c>
      <c r="G50" s="12">
        <f>ROUND(($K$2+$L$2+$U$2+$Q$2)/4,10)</f>
        <v>3.1428814982</v>
      </c>
    </row>
    <row r="51" spans="2:7">
      <c r="B51" s="4" t="s">
        <v>220</v>
      </c>
      <c r="C51" s="4" t="s">
        <v>221</v>
      </c>
      <c r="D51" s="8">
        <v>39</v>
      </c>
      <c r="E51" s="4" t="s">
        <v>121</v>
      </c>
      <c r="F51" s="4" t="s">
        <v>119</v>
      </c>
      <c r="G51" s="12">
        <f>ROUND(($K$2+$L$2+$U$2+$Q$2)/4,10)</f>
        <v>3.1428814982</v>
      </c>
    </row>
    <row r="52" spans="2:7">
      <c r="B52" s="4" t="s">
        <v>222</v>
      </c>
      <c r="C52" s="4" t="s">
        <v>223</v>
      </c>
      <c r="D52" s="8">
        <v>46</v>
      </c>
      <c r="E52" s="4" t="s">
        <v>115</v>
      </c>
      <c r="F52" s="4" t="s">
        <v>125</v>
      </c>
      <c r="G52" s="12">
        <f>ROUND(($U$2+$Q$2+$W$2)/3,10)</f>
        <v>4.8068038E-2</v>
      </c>
    </row>
    <row r="53" spans="2:7">
      <c r="B53" s="4" t="s">
        <v>224</v>
      </c>
      <c r="C53" s="4" t="s">
        <v>225</v>
      </c>
      <c r="D53" s="8">
        <v>0</v>
      </c>
      <c r="E53" s="4" t="s">
        <v>9</v>
      </c>
      <c r="F53" s="4" t="s">
        <v>18</v>
      </c>
      <c r="G53" s="12">
        <f>ROUND(($Y$2+$X$2)/2,10)</f>
        <v>2.5971950000000001E-4</v>
      </c>
    </row>
    <row r="54" spans="2:7">
      <c r="B54" s="4" t="s">
        <v>227</v>
      </c>
      <c r="C54" s="4" t="s">
        <v>225</v>
      </c>
      <c r="D54" s="8">
        <v>0</v>
      </c>
      <c r="E54" s="4" t="s">
        <v>9</v>
      </c>
      <c r="F54" s="4" t="s">
        <v>8</v>
      </c>
      <c r="G54" s="12">
        <f>ROUND($Y$2,10)</f>
        <v>2.4852399999999999E-5</v>
      </c>
    </row>
    <row r="55" spans="2:7">
      <c r="B55" s="4" t="s">
        <v>226</v>
      </c>
      <c r="C55" s="4" t="s">
        <v>225</v>
      </c>
      <c r="D55" s="8">
        <v>0</v>
      </c>
      <c r="E55" s="4" t="s">
        <v>9</v>
      </c>
      <c r="F55" s="4" t="s">
        <v>8</v>
      </c>
      <c r="G55" s="12">
        <f>ROUND($Y$2,10)</f>
        <v>2.4852399999999999E-5</v>
      </c>
    </row>
    <row r="56" spans="2:7">
      <c r="B56" s="4" t="s">
        <v>228</v>
      </c>
      <c r="C56" s="4" t="s">
        <v>229</v>
      </c>
      <c r="D56" s="8">
        <v>47</v>
      </c>
      <c r="E56" s="4" t="s">
        <v>70</v>
      </c>
      <c r="F56" s="4" t="s">
        <v>119</v>
      </c>
      <c r="G56" s="12">
        <f>ROUND(($K$2+$L$2+$U$2+$Q$2)/4,10)</f>
        <v>3.1428814982</v>
      </c>
    </row>
    <row r="57" spans="2:7">
      <c r="B57" s="4" t="s">
        <v>230</v>
      </c>
      <c r="C57" s="4" t="s">
        <v>231</v>
      </c>
      <c r="D57" s="8">
        <v>45</v>
      </c>
      <c r="E57" s="4" t="s">
        <v>82</v>
      </c>
      <c r="F57" s="4" t="s">
        <v>79</v>
      </c>
      <c r="G57" s="12">
        <f>ROUND(($J$2+$L$2+$P$2+$Q$2)/4,10)</f>
        <v>9.4236937071</v>
      </c>
    </row>
    <row r="58" spans="2:7">
      <c r="B58" s="4" t="s">
        <v>233</v>
      </c>
      <c r="C58" s="4" t="s">
        <v>231</v>
      </c>
      <c r="D58" s="8">
        <v>45</v>
      </c>
      <c r="E58" s="4" t="s">
        <v>82</v>
      </c>
      <c r="F58" s="4" t="s">
        <v>129</v>
      </c>
      <c r="G58" s="13">
        <f>ROUND(($J$2+$L$2+$P$2+$Q$2)/4,10)</f>
        <v>9.4236937071</v>
      </c>
    </row>
    <row r="59" spans="2:7">
      <c r="B59" s="4" t="s">
        <v>232</v>
      </c>
      <c r="C59" s="4" t="s">
        <v>231</v>
      </c>
      <c r="D59" s="8">
        <v>45</v>
      </c>
      <c r="E59" s="4" t="s">
        <v>82</v>
      </c>
      <c r="F59" s="4" t="s">
        <v>79</v>
      </c>
      <c r="G59" s="12">
        <f>ROUND(($J$2+$L$2+$P$2+$Q$2)/4,10)</f>
        <v>9.4236937071</v>
      </c>
    </row>
    <row r="60" spans="2:7">
      <c r="B60" s="4" t="s">
        <v>234</v>
      </c>
      <c r="C60" s="4" t="s">
        <v>235</v>
      </c>
      <c r="D60" s="8">
        <v>51</v>
      </c>
      <c r="E60" s="4" t="s">
        <v>78</v>
      </c>
      <c r="F60" s="4" t="s">
        <v>79</v>
      </c>
      <c r="G60" s="12">
        <f>ROUND(($J$2+$L$2+$P$2+$Q$2)/4,10)</f>
        <v>9.4236937071</v>
      </c>
    </row>
    <row r="61" spans="2:7">
      <c r="B61" s="4" t="s">
        <v>236</v>
      </c>
      <c r="C61" s="4" t="s">
        <v>235</v>
      </c>
      <c r="D61" s="8">
        <v>51</v>
      </c>
      <c r="E61" s="4" t="s">
        <v>78</v>
      </c>
      <c r="F61" s="4" t="s">
        <v>79</v>
      </c>
      <c r="G61" s="12">
        <f>ROUND(($J$2+$L$2+$P$2+$Q$2)/4,10)</f>
        <v>9.4236937071</v>
      </c>
    </row>
    <row r="62" spans="2:7">
      <c r="B62" s="4" t="s">
        <v>237</v>
      </c>
      <c r="C62" s="4" t="s">
        <v>238</v>
      </c>
      <c r="D62" s="8">
        <v>0</v>
      </c>
      <c r="E62" s="4" t="s">
        <v>48</v>
      </c>
      <c r="F62" s="4" t="s">
        <v>8</v>
      </c>
      <c r="G62" s="12">
        <f>ROUND($Y$2,10)</f>
        <v>2.4852399999999999E-5</v>
      </c>
    </row>
    <row r="63" spans="2:7">
      <c r="B63" s="4" t="s">
        <v>241</v>
      </c>
      <c r="C63" s="4" t="s">
        <v>242</v>
      </c>
      <c r="D63" s="8">
        <v>49</v>
      </c>
      <c r="E63" s="4" t="s">
        <v>14</v>
      </c>
      <c r="F63" s="4" t="s">
        <v>67</v>
      </c>
      <c r="G63" s="12">
        <f>ROUND(($Y$2+$V$2)/2,10)</f>
        <v>1.367126E-3</v>
      </c>
    </row>
    <row r="64" spans="2:7">
      <c r="B64" s="4" t="s">
        <v>239</v>
      </c>
      <c r="C64" s="4" t="s">
        <v>161</v>
      </c>
      <c r="D64" s="8">
        <v>0</v>
      </c>
      <c r="E64" s="4" t="s">
        <v>5</v>
      </c>
      <c r="F64" s="4" t="s">
        <v>6</v>
      </c>
      <c r="G64" s="12">
        <f>ROUND($AG$2,10)</f>
        <v>0</v>
      </c>
    </row>
  </sheetData>
  <mergeCells count="4">
    <mergeCell ref="B1:B2"/>
    <mergeCell ref="C1:C2"/>
    <mergeCell ref="G1:G2"/>
    <mergeCell ref="AH1:A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90"/>
  <sheetViews>
    <sheetView zoomScale="110" zoomScaleNormal="110" workbookViewId="0">
      <pane xSplit="4" ySplit="2" topLeftCell="E79" activePane="bottomRight" state="frozen"/>
      <selection pane="topRight" activeCell="E1" sqref="E1"/>
      <selection pane="bottomLeft" activeCell="A3" sqref="A3"/>
      <selection pane="bottomRight" activeCell="I94" sqref="I94"/>
    </sheetView>
  </sheetViews>
  <sheetFormatPr defaultColWidth="9.140625" defaultRowHeight="15"/>
  <cols>
    <col min="1" max="1" width="16.42578125" style="27" bestFit="1" customWidth="1"/>
    <col min="2" max="2" width="21.85546875" style="27" bestFit="1" customWidth="1"/>
    <col min="3" max="3" width="7" style="28" bestFit="1" customWidth="1"/>
    <col min="4" max="4" width="6.42578125" style="28" bestFit="1" customWidth="1"/>
    <col min="5" max="5" width="59.140625" style="29" customWidth="1"/>
    <col min="6" max="6" width="18" style="29" customWidth="1"/>
    <col min="7" max="7" width="16.28515625" style="30" bestFit="1" customWidth="1"/>
    <col min="8" max="9" width="10" style="27" bestFit="1" customWidth="1"/>
    <col min="10" max="11" width="12" style="27" bestFit="1" customWidth="1"/>
    <col min="12" max="12" width="10" style="27" bestFit="1" customWidth="1"/>
    <col min="13" max="16" width="12" style="27" bestFit="1" customWidth="1"/>
    <col min="17" max="19" width="11" style="27" bestFit="1" customWidth="1"/>
    <col min="20" max="20" width="12" style="27" bestFit="1" customWidth="1"/>
    <col min="21" max="21" width="10" style="27" bestFit="1" customWidth="1"/>
    <col min="22" max="31" width="12" style="27" bestFit="1" customWidth="1"/>
    <col min="32" max="32" width="2.85546875" style="27" bestFit="1" customWidth="1"/>
    <col min="33" max="33" width="16.42578125" style="27" bestFit="1" customWidth="1"/>
    <col min="34" max="34" width="13.140625" style="27" bestFit="1" customWidth="1"/>
    <col min="35" max="16384" width="9.140625" style="27"/>
  </cols>
  <sheetData>
    <row r="1" spans="1:7" s="20" customFormat="1">
      <c r="A1" s="20" t="s">
        <v>145</v>
      </c>
      <c r="B1" s="20" t="s">
        <v>144</v>
      </c>
      <c r="C1" s="199" t="s">
        <v>259</v>
      </c>
      <c r="D1" s="199"/>
      <c r="E1" s="21" t="s">
        <v>1</v>
      </c>
      <c r="F1" s="21" t="s">
        <v>2</v>
      </c>
      <c r="G1" s="22" t="s">
        <v>262</v>
      </c>
    </row>
    <row r="2" spans="1:7" s="20" customFormat="1" ht="15.75" thickBot="1">
      <c r="A2" s="23"/>
      <c r="B2" s="23"/>
      <c r="C2" s="24" t="s">
        <v>260</v>
      </c>
      <c r="D2" s="24" t="s">
        <v>261</v>
      </c>
      <c r="E2" s="25"/>
      <c r="F2" s="25" t="s">
        <v>3</v>
      </c>
      <c r="G2" s="26" t="s">
        <v>263</v>
      </c>
    </row>
    <row r="3" spans="1:7" ht="15.75" thickTop="1">
      <c r="A3" s="27" t="s">
        <v>136</v>
      </c>
      <c r="B3" s="27" t="s">
        <v>137</v>
      </c>
      <c r="C3" s="28">
        <v>0</v>
      </c>
      <c r="D3" s="28">
        <v>29</v>
      </c>
      <c r="E3" s="29" t="s">
        <v>5</v>
      </c>
      <c r="F3" s="29" t="s">
        <v>6</v>
      </c>
      <c r="G3" s="30">
        <v>0</v>
      </c>
    </row>
    <row r="4" spans="1:7">
      <c r="A4" s="27" t="s">
        <v>136</v>
      </c>
      <c r="B4" s="27" t="s">
        <v>137</v>
      </c>
      <c r="C4" s="28">
        <v>30</v>
      </c>
      <c r="D4" s="28">
        <v>90</v>
      </c>
      <c r="E4" s="29" t="s">
        <v>7</v>
      </c>
      <c r="F4" s="29" t="s">
        <v>8</v>
      </c>
      <c r="G4" s="30">
        <v>2.4852399999999999E-5</v>
      </c>
    </row>
    <row r="5" spans="1:7">
      <c r="A5" s="27" t="s">
        <v>138</v>
      </c>
      <c r="B5" s="27" t="s">
        <v>139</v>
      </c>
      <c r="C5" s="28">
        <v>0</v>
      </c>
      <c r="D5" s="28">
        <v>90</v>
      </c>
      <c r="E5" s="29" t="s">
        <v>5</v>
      </c>
      <c r="F5" s="29" t="s">
        <v>6</v>
      </c>
      <c r="G5" s="30">
        <v>0</v>
      </c>
    </row>
    <row r="6" spans="1:7">
      <c r="A6" s="27" t="s">
        <v>140</v>
      </c>
      <c r="B6" s="27" t="s">
        <v>141</v>
      </c>
      <c r="C6" s="28">
        <v>0</v>
      </c>
      <c r="D6" s="28">
        <v>90</v>
      </c>
      <c r="E6" s="29" t="s">
        <v>9</v>
      </c>
      <c r="F6" s="29" t="s">
        <v>8</v>
      </c>
      <c r="G6" s="30">
        <v>2.4852399999999999E-5</v>
      </c>
    </row>
    <row r="7" spans="1:7">
      <c r="A7" s="27" t="s">
        <v>239</v>
      </c>
      <c r="B7" s="27" t="s">
        <v>161</v>
      </c>
      <c r="C7" s="28">
        <v>0</v>
      </c>
      <c r="D7" s="28">
        <v>90</v>
      </c>
      <c r="E7" s="29" t="s">
        <v>5</v>
      </c>
      <c r="F7" s="29" t="s">
        <v>6</v>
      </c>
      <c r="G7" s="30">
        <v>0</v>
      </c>
    </row>
    <row r="8" spans="1:7">
      <c r="A8" s="27" t="s">
        <v>240</v>
      </c>
      <c r="B8" s="27" t="s">
        <v>199</v>
      </c>
      <c r="C8" s="28">
        <v>0</v>
      </c>
      <c r="D8" s="28">
        <v>46</v>
      </c>
      <c r="E8" s="29" t="s">
        <v>10</v>
      </c>
      <c r="F8" s="29" t="s">
        <v>131</v>
      </c>
      <c r="G8" s="30">
        <v>3.2923199999999997E-5</v>
      </c>
    </row>
    <row r="9" spans="1:7">
      <c r="A9" s="27" t="s">
        <v>240</v>
      </c>
      <c r="B9" s="27" t="s">
        <v>199</v>
      </c>
      <c r="C9" s="28">
        <v>47</v>
      </c>
      <c r="D9" s="28">
        <v>90</v>
      </c>
      <c r="E9" s="29" t="s">
        <v>120</v>
      </c>
      <c r="F9" s="29" t="s">
        <v>12</v>
      </c>
      <c r="G9" s="30">
        <v>1.4228590000000001E-4</v>
      </c>
    </row>
    <row r="10" spans="1:7">
      <c r="A10" s="27" t="s">
        <v>142</v>
      </c>
      <c r="B10" s="27" t="s">
        <v>143</v>
      </c>
      <c r="C10" s="28">
        <v>0</v>
      </c>
      <c r="D10" s="28">
        <v>9</v>
      </c>
      <c r="E10" s="29" t="s">
        <v>9</v>
      </c>
      <c r="F10" s="29" t="s">
        <v>12</v>
      </c>
      <c r="G10" s="30">
        <v>1.4228590000000001E-4</v>
      </c>
    </row>
    <row r="11" spans="1:7">
      <c r="A11" s="27" t="s">
        <v>142</v>
      </c>
      <c r="B11" s="27" t="s">
        <v>143</v>
      </c>
      <c r="C11" s="28">
        <v>10</v>
      </c>
      <c r="D11" s="28">
        <v>32</v>
      </c>
      <c r="E11" s="29" t="s">
        <v>13</v>
      </c>
      <c r="F11" s="29" t="s">
        <v>8</v>
      </c>
      <c r="G11" s="30">
        <v>2.4852399999999999E-5</v>
      </c>
    </row>
    <row r="12" spans="1:7">
      <c r="A12" s="27" t="s">
        <v>142</v>
      </c>
      <c r="B12" s="27" t="s">
        <v>143</v>
      </c>
      <c r="C12" s="28">
        <v>33</v>
      </c>
      <c r="D12" s="28">
        <v>51</v>
      </c>
      <c r="E12" s="29" t="s">
        <v>14</v>
      </c>
      <c r="F12" s="29" t="s">
        <v>15</v>
      </c>
      <c r="G12" s="30">
        <v>1.3061639E-3</v>
      </c>
    </row>
    <row r="13" spans="1:7">
      <c r="A13" s="27" t="s">
        <v>142</v>
      </c>
      <c r="B13" s="27" t="s">
        <v>143</v>
      </c>
      <c r="C13" s="28">
        <v>52</v>
      </c>
      <c r="D13" s="28">
        <v>90</v>
      </c>
      <c r="E13" s="29" t="s">
        <v>16</v>
      </c>
      <c r="F13" s="29" t="s">
        <v>17</v>
      </c>
      <c r="G13" s="30">
        <v>1.6926263999999999E-3</v>
      </c>
    </row>
    <row r="14" spans="1:7">
      <c r="A14" s="27" t="s">
        <v>146</v>
      </c>
      <c r="B14" s="27" t="s">
        <v>147</v>
      </c>
      <c r="C14" s="28">
        <v>0</v>
      </c>
      <c r="D14" s="28">
        <v>5</v>
      </c>
      <c r="E14" s="29" t="s">
        <v>9</v>
      </c>
      <c r="F14" s="29" t="s">
        <v>18</v>
      </c>
      <c r="G14" s="30">
        <v>2.5971950000000001E-4</v>
      </c>
    </row>
    <row r="15" spans="1:7">
      <c r="A15" s="27" t="s">
        <v>146</v>
      </c>
      <c r="B15" s="27" t="s">
        <v>147</v>
      </c>
      <c r="C15" s="28">
        <v>6</v>
      </c>
      <c r="D15" s="28">
        <v>10</v>
      </c>
      <c r="E15" s="29" t="s">
        <v>10</v>
      </c>
      <c r="F15" s="29" t="s">
        <v>19</v>
      </c>
      <c r="G15" s="30">
        <v>1.813648E-4</v>
      </c>
    </row>
    <row r="16" spans="1:7">
      <c r="A16" s="27" t="s">
        <v>146</v>
      </c>
      <c r="B16" s="27" t="s">
        <v>147</v>
      </c>
      <c r="C16" s="28">
        <v>11</v>
      </c>
      <c r="D16" s="28">
        <v>40</v>
      </c>
      <c r="E16" s="29" t="s">
        <v>20</v>
      </c>
      <c r="F16" s="29" t="s">
        <v>21</v>
      </c>
      <c r="G16" s="30">
        <v>3.7057100000000001E-5</v>
      </c>
    </row>
    <row r="17" spans="1:7">
      <c r="A17" s="27" t="s">
        <v>146</v>
      </c>
      <c r="B17" s="27" t="s">
        <v>147</v>
      </c>
      <c r="C17" s="28">
        <v>41</v>
      </c>
      <c r="D17" s="28">
        <v>90</v>
      </c>
      <c r="E17" s="29" t="s">
        <v>10</v>
      </c>
      <c r="F17" s="29" t="s">
        <v>8</v>
      </c>
      <c r="G17" s="30">
        <v>2.4852399999999999E-5</v>
      </c>
    </row>
    <row r="18" spans="1:7">
      <c r="A18" s="27" t="s">
        <v>148</v>
      </c>
      <c r="B18" s="27" t="s">
        <v>149</v>
      </c>
      <c r="C18" s="28">
        <v>0</v>
      </c>
      <c r="D18" s="28">
        <v>13</v>
      </c>
      <c r="E18" s="29" t="s">
        <v>9</v>
      </c>
      <c r="F18" s="29" t="s">
        <v>18</v>
      </c>
      <c r="G18" s="30">
        <v>2.5971950000000001E-4</v>
      </c>
    </row>
    <row r="19" spans="1:7">
      <c r="A19" s="27" t="s">
        <v>148</v>
      </c>
      <c r="B19" s="27" t="s">
        <v>149</v>
      </c>
      <c r="C19" s="28">
        <v>14</v>
      </c>
      <c r="D19" s="28">
        <v>53</v>
      </c>
      <c r="E19" s="29" t="s">
        <v>10</v>
      </c>
      <c r="F19" s="29" t="s">
        <v>8</v>
      </c>
      <c r="G19" s="30">
        <v>2.4852399999999999E-5</v>
      </c>
    </row>
    <row r="20" spans="1:7" ht="30">
      <c r="A20" s="27" t="s">
        <v>148</v>
      </c>
      <c r="B20" s="27" t="s">
        <v>149</v>
      </c>
      <c r="C20" s="28">
        <v>54</v>
      </c>
      <c r="D20" s="28">
        <v>90</v>
      </c>
      <c r="E20" s="29" t="s">
        <v>16</v>
      </c>
      <c r="F20" s="29" t="s">
        <v>47</v>
      </c>
      <c r="G20" s="30">
        <v>1.4235974999999999E-3</v>
      </c>
    </row>
    <row r="21" spans="1:7">
      <c r="A21" s="27" t="s">
        <v>150</v>
      </c>
      <c r="B21" s="27" t="s">
        <v>151</v>
      </c>
      <c r="C21" s="28">
        <v>0</v>
      </c>
      <c r="D21" s="28">
        <v>13</v>
      </c>
      <c r="E21" s="29" t="s">
        <v>10</v>
      </c>
      <c r="F21" s="29" t="s">
        <v>28</v>
      </c>
      <c r="G21" s="30">
        <v>2.4655500000000001E-5</v>
      </c>
    </row>
    <row r="22" spans="1:7">
      <c r="A22" s="27" t="s">
        <v>150</v>
      </c>
      <c r="B22" s="27" t="s">
        <v>151</v>
      </c>
      <c r="C22" s="28">
        <v>14</v>
      </c>
      <c r="D22" s="28">
        <v>45</v>
      </c>
      <c r="E22" s="29" t="s">
        <v>10</v>
      </c>
      <c r="F22" s="29" t="s">
        <v>8</v>
      </c>
      <c r="G22" s="30">
        <v>2.4852399999999999E-5</v>
      </c>
    </row>
    <row r="23" spans="1:7" ht="30">
      <c r="A23" s="27" t="s">
        <v>150</v>
      </c>
      <c r="B23" s="27" t="s">
        <v>151</v>
      </c>
      <c r="C23" s="28">
        <v>46</v>
      </c>
      <c r="D23" s="28">
        <v>90</v>
      </c>
      <c r="E23" s="29" t="s">
        <v>48</v>
      </c>
      <c r="F23" s="29" t="s">
        <v>49</v>
      </c>
      <c r="G23" s="30">
        <v>1.3953618E-3</v>
      </c>
    </row>
    <row r="24" spans="1:7">
      <c r="A24" s="27" t="s">
        <v>152</v>
      </c>
      <c r="B24" s="27" t="s">
        <v>153</v>
      </c>
      <c r="C24" s="28">
        <v>0</v>
      </c>
      <c r="D24" s="28">
        <v>15</v>
      </c>
      <c r="E24" s="29" t="s">
        <v>9</v>
      </c>
      <c r="F24" s="29" t="s">
        <v>12</v>
      </c>
      <c r="G24" s="30">
        <v>1.4228590000000001E-4</v>
      </c>
    </row>
    <row r="25" spans="1:7">
      <c r="A25" s="27" t="s">
        <v>152</v>
      </c>
      <c r="B25" s="27" t="s">
        <v>153</v>
      </c>
      <c r="C25" s="28">
        <v>16</v>
      </c>
      <c r="D25" s="28">
        <v>52</v>
      </c>
      <c r="E25" s="29" t="s">
        <v>10</v>
      </c>
      <c r="F25" s="29" t="s">
        <v>21</v>
      </c>
      <c r="G25" s="30">
        <v>3.7057100000000001E-5</v>
      </c>
    </row>
    <row r="26" spans="1:7">
      <c r="A26" s="27" t="s">
        <v>152</v>
      </c>
      <c r="B26" s="27" t="s">
        <v>153</v>
      </c>
      <c r="C26" s="28">
        <v>53</v>
      </c>
      <c r="D26" s="28">
        <v>61</v>
      </c>
      <c r="E26" s="29" t="s">
        <v>50</v>
      </c>
      <c r="F26" s="29" t="s">
        <v>51</v>
      </c>
      <c r="G26" s="30">
        <v>1.367126E-3</v>
      </c>
    </row>
    <row r="27" spans="1:7">
      <c r="A27" s="27" t="s">
        <v>152</v>
      </c>
      <c r="B27" s="27" t="s">
        <v>153</v>
      </c>
      <c r="C27" s="28">
        <v>62</v>
      </c>
      <c r="D27" s="28">
        <v>90</v>
      </c>
      <c r="E27" s="29" t="s">
        <v>52</v>
      </c>
      <c r="F27" s="29" t="s">
        <v>53</v>
      </c>
      <c r="G27" s="30">
        <v>1.7739092E-3</v>
      </c>
    </row>
    <row r="28" spans="1:7">
      <c r="A28" s="27" t="s">
        <v>155</v>
      </c>
      <c r="B28" s="27" t="s">
        <v>154</v>
      </c>
      <c r="C28" s="28">
        <v>0</v>
      </c>
      <c r="D28" s="28">
        <v>32</v>
      </c>
      <c r="E28" s="29" t="s">
        <v>9</v>
      </c>
      <c r="F28" s="29" t="s">
        <v>18</v>
      </c>
      <c r="G28" s="30">
        <v>2.5971950000000001E-4</v>
      </c>
    </row>
    <row r="29" spans="1:7">
      <c r="A29" s="27" t="s">
        <v>155</v>
      </c>
      <c r="B29" s="27" t="s">
        <v>154</v>
      </c>
      <c r="C29" s="28">
        <v>33</v>
      </c>
      <c r="D29" s="28">
        <v>54</v>
      </c>
      <c r="E29" s="29" t="s">
        <v>13</v>
      </c>
      <c r="F29" s="29" t="s">
        <v>8</v>
      </c>
      <c r="G29" s="30">
        <v>2.4852399999999999E-5</v>
      </c>
    </row>
    <row r="30" spans="1:7" ht="30">
      <c r="A30" s="27" t="s">
        <v>155</v>
      </c>
      <c r="B30" s="27" t="s">
        <v>154</v>
      </c>
      <c r="C30" s="28">
        <v>55</v>
      </c>
      <c r="D30" s="28">
        <v>90</v>
      </c>
      <c r="E30" s="29" t="s">
        <v>55</v>
      </c>
      <c r="F30" s="29" t="s">
        <v>51</v>
      </c>
      <c r="G30" s="30">
        <v>1.367126E-3</v>
      </c>
    </row>
    <row r="31" spans="1:7">
      <c r="A31" s="27" t="s">
        <v>157</v>
      </c>
      <c r="B31" s="27" t="s">
        <v>156</v>
      </c>
      <c r="C31" s="28">
        <v>0</v>
      </c>
      <c r="D31" s="28">
        <v>17</v>
      </c>
      <c r="E31" s="29" t="s">
        <v>9</v>
      </c>
      <c r="F31" s="29" t="s">
        <v>18</v>
      </c>
      <c r="G31" s="30">
        <v>2.5971950000000001E-4</v>
      </c>
    </row>
    <row r="32" spans="1:7">
      <c r="A32" s="27" t="s">
        <v>157</v>
      </c>
      <c r="B32" s="27" t="s">
        <v>156</v>
      </c>
      <c r="C32" s="28">
        <v>18</v>
      </c>
      <c r="D32" s="28">
        <v>41</v>
      </c>
      <c r="E32" s="29" t="s">
        <v>13</v>
      </c>
      <c r="F32" s="29" t="s">
        <v>8</v>
      </c>
      <c r="G32" s="30">
        <v>2.4852399999999999E-5</v>
      </c>
    </row>
    <row r="33" spans="1:7">
      <c r="A33" s="27" t="s">
        <v>157</v>
      </c>
      <c r="B33" s="27" t="s">
        <v>156</v>
      </c>
      <c r="C33" s="28">
        <v>42</v>
      </c>
      <c r="D33" s="28">
        <v>50</v>
      </c>
      <c r="E33" s="29" t="s">
        <v>56</v>
      </c>
      <c r="F33" s="29" t="s">
        <v>51</v>
      </c>
      <c r="G33" s="30">
        <v>1.367126E-3</v>
      </c>
    </row>
    <row r="34" spans="1:7" ht="30">
      <c r="A34" s="27" t="s">
        <v>157</v>
      </c>
      <c r="B34" s="27" t="s">
        <v>156</v>
      </c>
      <c r="C34" s="28">
        <v>51</v>
      </c>
      <c r="D34" s="28">
        <v>90</v>
      </c>
      <c r="E34" s="29" t="s">
        <v>57</v>
      </c>
      <c r="F34" s="29" t="s">
        <v>58</v>
      </c>
      <c r="G34" s="30">
        <v>1.6093997000000001E-3</v>
      </c>
    </row>
    <row r="35" spans="1:7">
      <c r="A35" s="27" t="s">
        <v>158</v>
      </c>
      <c r="B35" s="27" t="s">
        <v>159</v>
      </c>
      <c r="C35" s="28">
        <v>0</v>
      </c>
      <c r="D35" s="28">
        <v>37</v>
      </c>
      <c r="E35" s="29" t="s">
        <v>9</v>
      </c>
      <c r="F35" s="29" t="s">
        <v>8</v>
      </c>
      <c r="G35" s="30">
        <v>2.4852399999999999E-5</v>
      </c>
    </row>
    <row r="36" spans="1:7">
      <c r="A36" s="27" t="s">
        <v>158</v>
      </c>
      <c r="B36" s="27" t="s">
        <v>159</v>
      </c>
      <c r="C36" s="28">
        <v>37</v>
      </c>
      <c r="D36" s="28">
        <v>90</v>
      </c>
      <c r="E36" s="29" t="s">
        <v>59</v>
      </c>
      <c r="F36" s="29" t="s">
        <v>51</v>
      </c>
      <c r="G36" s="30">
        <v>1.367126E-3</v>
      </c>
    </row>
    <row r="37" spans="1:7">
      <c r="A37" s="27" t="s">
        <v>160</v>
      </c>
      <c r="B37" s="27" t="s">
        <v>161</v>
      </c>
      <c r="C37" s="28">
        <v>0</v>
      </c>
      <c r="D37" s="28">
        <v>90</v>
      </c>
      <c r="E37" s="29" t="s">
        <v>5</v>
      </c>
      <c r="F37" s="29" t="s">
        <v>6</v>
      </c>
      <c r="G37" s="30">
        <v>0</v>
      </c>
    </row>
    <row r="38" spans="1:7">
      <c r="A38" s="27" t="s">
        <v>162</v>
      </c>
      <c r="B38" s="27" t="s">
        <v>163</v>
      </c>
      <c r="C38" s="28">
        <v>0</v>
      </c>
      <c r="D38" s="28">
        <v>7</v>
      </c>
      <c r="E38" s="29" t="s">
        <v>9</v>
      </c>
      <c r="F38" s="29" t="s">
        <v>60</v>
      </c>
      <c r="G38" s="30">
        <v>2.5971950000000001E-4</v>
      </c>
    </row>
    <row r="39" spans="1:7">
      <c r="A39" s="27" t="s">
        <v>162</v>
      </c>
      <c r="B39" s="27" t="s">
        <v>163</v>
      </c>
      <c r="C39" s="28">
        <v>5</v>
      </c>
      <c r="D39" s="28">
        <v>11</v>
      </c>
      <c r="E39" s="29" t="s">
        <v>9</v>
      </c>
      <c r="F39" s="29" t="s">
        <v>12</v>
      </c>
      <c r="G39" s="30">
        <v>1.4228590000000001E-4</v>
      </c>
    </row>
    <row r="40" spans="1:7">
      <c r="A40" s="27" t="s">
        <v>162</v>
      </c>
      <c r="B40" s="27" t="s">
        <v>163</v>
      </c>
      <c r="C40" s="28">
        <v>12</v>
      </c>
      <c r="D40" s="28">
        <v>25</v>
      </c>
      <c r="E40" s="29" t="s">
        <v>13</v>
      </c>
      <c r="F40" s="29" t="s">
        <v>8</v>
      </c>
      <c r="G40" s="30">
        <v>2.4852399999999999E-5</v>
      </c>
    </row>
    <row r="41" spans="1:7">
      <c r="A41" s="27" t="s">
        <v>162</v>
      </c>
      <c r="B41" s="27" t="s">
        <v>163</v>
      </c>
      <c r="C41" s="28">
        <v>26</v>
      </c>
      <c r="D41" s="28">
        <v>40</v>
      </c>
      <c r="E41" s="29" t="s">
        <v>61</v>
      </c>
      <c r="F41" s="29" t="s">
        <v>51</v>
      </c>
      <c r="G41" s="30">
        <v>1.367126E-3</v>
      </c>
    </row>
    <row r="42" spans="1:7">
      <c r="A42" s="27" t="s">
        <v>162</v>
      </c>
      <c r="B42" s="27" t="s">
        <v>163</v>
      </c>
      <c r="C42" s="28">
        <v>41</v>
      </c>
      <c r="D42" s="28">
        <v>90</v>
      </c>
      <c r="E42" s="29" t="s">
        <v>11</v>
      </c>
      <c r="F42" s="29" t="s">
        <v>62</v>
      </c>
      <c r="G42" s="30">
        <v>1.4235974999999999E-3</v>
      </c>
    </row>
    <row r="43" spans="1:7">
      <c r="A43" s="27" t="s">
        <v>164</v>
      </c>
      <c r="B43" s="27" t="s">
        <v>165</v>
      </c>
      <c r="C43" s="28">
        <v>0</v>
      </c>
      <c r="D43" s="28">
        <v>90</v>
      </c>
      <c r="E43" s="29" t="s">
        <v>9</v>
      </c>
      <c r="F43" s="29" t="s">
        <v>8</v>
      </c>
      <c r="G43" s="30">
        <v>2.4852399999999999E-5</v>
      </c>
    </row>
    <row r="44" spans="1:7">
      <c r="A44" s="27" t="s">
        <v>164</v>
      </c>
      <c r="B44" s="27" t="s">
        <v>165</v>
      </c>
      <c r="C44" s="28">
        <v>11</v>
      </c>
      <c r="D44" s="28">
        <v>31</v>
      </c>
      <c r="E44" s="29" t="s">
        <v>63</v>
      </c>
      <c r="F44" s="29" t="s">
        <v>23</v>
      </c>
      <c r="G44" s="30">
        <v>3.7057100000000001E-5</v>
      </c>
    </row>
    <row r="45" spans="1:7">
      <c r="A45" s="27" t="s">
        <v>166</v>
      </c>
      <c r="B45" s="27" t="s">
        <v>167</v>
      </c>
      <c r="C45" s="28">
        <v>0</v>
      </c>
      <c r="D45" s="28">
        <v>11</v>
      </c>
      <c r="E45" s="29" t="s">
        <v>10</v>
      </c>
      <c r="F45" s="29" t="s">
        <v>65</v>
      </c>
      <c r="G45" s="30">
        <v>3.6958700000000002E-5</v>
      </c>
    </row>
    <row r="46" spans="1:7">
      <c r="A46" s="27" t="s">
        <v>166</v>
      </c>
      <c r="B46" s="27" t="s">
        <v>167</v>
      </c>
      <c r="C46" s="28">
        <v>12</v>
      </c>
      <c r="D46" s="28">
        <v>53</v>
      </c>
      <c r="E46" s="29" t="s">
        <v>22</v>
      </c>
      <c r="F46" s="29" t="s">
        <v>21</v>
      </c>
      <c r="G46" s="30">
        <v>3.7057100000000001E-5</v>
      </c>
    </row>
    <row r="47" spans="1:7">
      <c r="A47" s="27" t="s">
        <v>166</v>
      </c>
      <c r="B47" s="27" t="s">
        <v>167</v>
      </c>
      <c r="C47" s="28">
        <v>54</v>
      </c>
      <c r="D47" s="28">
        <v>90</v>
      </c>
      <c r="E47" s="29" t="s">
        <v>10</v>
      </c>
      <c r="F47" s="29" t="s">
        <v>8</v>
      </c>
      <c r="G47" s="30">
        <v>2.4852399999999999E-5</v>
      </c>
    </row>
    <row r="48" spans="1:7">
      <c r="A48" s="27" t="s">
        <v>168</v>
      </c>
      <c r="B48" s="27" t="s">
        <v>169</v>
      </c>
      <c r="C48" s="28">
        <v>0</v>
      </c>
      <c r="D48" s="28">
        <v>14</v>
      </c>
      <c r="E48" s="29" t="s">
        <v>48</v>
      </c>
      <c r="F48" s="29" t="s">
        <v>18</v>
      </c>
      <c r="G48" s="30">
        <v>2.5971950000000001E-4</v>
      </c>
    </row>
    <row r="49" spans="1:7">
      <c r="A49" s="27" t="s">
        <v>168</v>
      </c>
      <c r="B49" s="27" t="s">
        <v>169</v>
      </c>
      <c r="C49" s="28">
        <v>15</v>
      </c>
      <c r="D49" s="28">
        <v>30</v>
      </c>
      <c r="E49" s="29" t="s">
        <v>66</v>
      </c>
      <c r="F49" s="29" t="s">
        <v>67</v>
      </c>
      <c r="G49" s="30">
        <v>1.367126E-3</v>
      </c>
    </row>
    <row r="50" spans="1:7" ht="30">
      <c r="A50" s="27" t="s">
        <v>168</v>
      </c>
      <c r="B50" s="27" t="s">
        <v>169</v>
      </c>
      <c r="C50" s="28">
        <v>31</v>
      </c>
      <c r="D50" s="28">
        <v>90</v>
      </c>
      <c r="E50" s="29" t="s">
        <v>68</v>
      </c>
      <c r="F50" s="29" t="s">
        <v>69</v>
      </c>
      <c r="G50" s="30">
        <v>12.518541247050003</v>
      </c>
    </row>
    <row r="51" spans="1:7">
      <c r="A51" s="27" t="s">
        <v>170</v>
      </c>
      <c r="B51" s="27" t="s">
        <v>169</v>
      </c>
      <c r="C51" s="28">
        <v>0</v>
      </c>
      <c r="D51" s="28">
        <v>10</v>
      </c>
      <c r="E51" s="29" t="s">
        <v>48</v>
      </c>
      <c r="F51" s="29" t="s">
        <v>18</v>
      </c>
      <c r="G51" s="30">
        <v>2.5971950000000001E-4</v>
      </c>
    </row>
    <row r="52" spans="1:7">
      <c r="A52" s="27" t="s">
        <v>170</v>
      </c>
      <c r="B52" s="27" t="s">
        <v>169</v>
      </c>
      <c r="C52" s="28">
        <v>11</v>
      </c>
      <c r="D52" s="28">
        <v>28</v>
      </c>
      <c r="E52" s="29" t="s">
        <v>66</v>
      </c>
      <c r="F52" s="29" t="s">
        <v>67</v>
      </c>
      <c r="G52" s="30">
        <v>1.367126E-3</v>
      </c>
    </row>
    <row r="53" spans="1:7">
      <c r="A53" s="27" t="s">
        <v>170</v>
      </c>
      <c r="B53" s="27" t="s">
        <v>169</v>
      </c>
      <c r="C53" s="28">
        <v>29</v>
      </c>
      <c r="D53" s="28">
        <v>90</v>
      </c>
      <c r="E53" s="29" t="s">
        <v>70</v>
      </c>
      <c r="F53" s="29" t="s">
        <v>71</v>
      </c>
      <c r="G53" s="30">
        <v>12.5185412471</v>
      </c>
    </row>
    <row r="54" spans="1:7">
      <c r="A54" s="27" t="s">
        <v>171</v>
      </c>
      <c r="B54" s="27" t="s">
        <v>169</v>
      </c>
      <c r="C54" s="28">
        <v>0</v>
      </c>
      <c r="D54" s="28">
        <v>8</v>
      </c>
      <c r="E54" s="29" t="s">
        <v>48</v>
      </c>
      <c r="F54" s="29" t="s">
        <v>54</v>
      </c>
      <c r="G54" s="30">
        <v>2.5971950000000001E-4</v>
      </c>
    </row>
    <row r="55" spans="1:7">
      <c r="A55" s="27" t="s">
        <v>171</v>
      </c>
      <c r="B55" s="27" t="s">
        <v>169</v>
      </c>
      <c r="C55" s="28">
        <v>9</v>
      </c>
      <c r="D55" s="28">
        <v>27</v>
      </c>
      <c r="E55" s="29" t="s">
        <v>66</v>
      </c>
      <c r="F55" s="29" t="s">
        <v>67</v>
      </c>
      <c r="G55" s="30">
        <v>1.367126E-3</v>
      </c>
    </row>
    <row r="56" spans="1:7">
      <c r="A56" s="27" t="s">
        <v>171</v>
      </c>
      <c r="B56" s="27" t="s">
        <v>169</v>
      </c>
      <c r="C56" s="28">
        <v>28</v>
      </c>
      <c r="D56" s="28">
        <v>90</v>
      </c>
      <c r="E56" s="29" t="s">
        <v>70</v>
      </c>
      <c r="F56" s="29" t="s">
        <v>69</v>
      </c>
      <c r="G56" s="30">
        <v>12.518541247050003</v>
      </c>
    </row>
    <row r="57" spans="1:7">
      <c r="A57" s="27" t="s">
        <v>173</v>
      </c>
      <c r="B57" s="27" t="s">
        <v>172</v>
      </c>
      <c r="C57" s="28">
        <v>0</v>
      </c>
      <c r="D57" s="28">
        <v>11</v>
      </c>
      <c r="E57" s="29" t="s">
        <v>9</v>
      </c>
      <c r="F57" s="29" t="s">
        <v>25</v>
      </c>
      <c r="G57" s="30">
        <v>4.9458659999999997E-4</v>
      </c>
    </row>
    <row r="58" spans="1:7">
      <c r="A58" s="27" t="s">
        <v>173</v>
      </c>
      <c r="B58" s="27" t="s">
        <v>172</v>
      </c>
      <c r="C58" s="28">
        <v>12</v>
      </c>
      <c r="D58" s="28">
        <v>19</v>
      </c>
      <c r="E58" s="29" t="s">
        <v>13</v>
      </c>
      <c r="F58" s="29" t="s">
        <v>8</v>
      </c>
      <c r="G58" s="30">
        <v>2.4852399999999999E-5</v>
      </c>
    </row>
    <row r="59" spans="1:7">
      <c r="A59" s="27" t="s">
        <v>173</v>
      </c>
      <c r="B59" s="27" t="s">
        <v>172</v>
      </c>
      <c r="C59" s="28">
        <v>20</v>
      </c>
      <c r="D59" s="28">
        <v>90</v>
      </c>
      <c r="E59" s="29" t="s">
        <v>72</v>
      </c>
      <c r="F59" s="29" t="s">
        <v>26</v>
      </c>
      <c r="G59" s="30">
        <v>2.7093997000000002E-3</v>
      </c>
    </row>
    <row r="60" spans="1:7">
      <c r="A60" s="27" t="s">
        <v>174</v>
      </c>
      <c r="B60" s="27" t="s">
        <v>175</v>
      </c>
      <c r="C60" s="28">
        <v>0</v>
      </c>
      <c r="D60" s="28">
        <v>8</v>
      </c>
      <c r="E60" s="29" t="s">
        <v>9</v>
      </c>
      <c r="F60" s="29" t="s">
        <v>25</v>
      </c>
      <c r="G60" s="30">
        <v>4.9458659999999997E-4</v>
      </c>
    </row>
    <row r="61" spans="1:7">
      <c r="A61" s="27" t="s">
        <v>174</v>
      </c>
      <c r="B61" s="27" t="s">
        <v>175</v>
      </c>
      <c r="C61" s="28">
        <v>10</v>
      </c>
      <c r="D61" s="28">
        <v>31</v>
      </c>
      <c r="E61" s="29" t="s">
        <v>20</v>
      </c>
      <c r="F61" s="29" t="s">
        <v>23</v>
      </c>
      <c r="G61" s="30">
        <v>3.7057100000000001E-5</v>
      </c>
    </row>
    <row r="62" spans="1:7">
      <c r="A62" s="27" t="s">
        <v>174</v>
      </c>
      <c r="B62" s="27" t="s">
        <v>175</v>
      </c>
      <c r="C62" s="28">
        <v>32</v>
      </c>
      <c r="D62" s="28">
        <v>90</v>
      </c>
      <c r="E62" s="29" t="s">
        <v>64</v>
      </c>
      <c r="F62" s="29" t="s">
        <v>8</v>
      </c>
      <c r="G62" s="30">
        <v>2.4852399999999999E-5</v>
      </c>
    </row>
    <row r="63" spans="1:7">
      <c r="A63" s="27" t="s">
        <v>176</v>
      </c>
      <c r="B63" s="27" t="s">
        <v>177</v>
      </c>
      <c r="C63" s="28">
        <v>0</v>
      </c>
      <c r="D63" s="28">
        <v>4</v>
      </c>
      <c r="E63" s="29" t="s">
        <v>9</v>
      </c>
      <c r="F63" s="29" t="s">
        <v>73</v>
      </c>
      <c r="G63" s="30">
        <v>2.5971950000000001E-4</v>
      </c>
    </row>
    <row r="64" spans="1:7">
      <c r="A64" s="27" t="s">
        <v>176</v>
      </c>
      <c r="B64" s="27" t="s">
        <v>177</v>
      </c>
      <c r="C64" s="28">
        <v>10</v>
      </c>
      <c r="D64" s="28">
        <v>31</v>
      </c>
      <c r="E64" s="29" t="s">
        <v>13</v>
      </c>
      <c r="F64" s="29" t="s">
        <v>8</v>
      </c>
      <c r="G64" s="30">
        <v>2.4852399999999999E-5</v>
      </c>
    </row>
    <row r="65" spans="1:7">
      <c r="A65" s="27" t="s">
        <v>176</v>
      </c>
      <c r="B65" s="27" t="s">
        <v>177</v>
      </c>
      <c r="C65" s="28">
        <v>32</v>
      </c>
      <c r="D65" s="28">
        <v>90</v>
      </c>
      <c r="E65" s="29" t="s">
        <v>74</v>
      </c>
      <c r="F65" s="29" t="s">
        <v>75</v>
      </c>
      <c r="G65" s="30">
        <v>2.6484375999999998E-3</v>
      </c>
    </row>
    <row r="66" spans="1:7">
      <c r="A66" s="27" t="s">
        <v>179</v>
      </c>
      <c r="B66" s="27" t="s">
        <v>178</v>
      </c>
      <c r="C66" s="28">
        <v>0</v>
      </c>
      <c r="D66" s="28">
        <v>7</v>
      </c>
      <c r="E66" s="29" t="s">
        <v>48</v>
      </c>
      <c r="F66" s="29" t="s">
        <v>8</v>
      </c>
      <c r="G66" s="30">
        <v>2.4852399999999999E-5</v>
      </c>
    </row>
    <row r="67" spans="1:7">
      <c r="A67" s="27" t="s">
        <v>179</v>
      </c>
      <c r="B67" s="27" t="s">
        <v>178</v>
      </c>
      <c r="C67" s="28">
        <v>8</v>
      </c>
      <c r="D67" s="28">
        <v>17</v>
      </c>
      <c r="E67" s="29" t="s">
        <v>77</v>
      </c>
      <c r="F67" s="29" t="s">
        <v>51</v>
      </c>
      <c r="G67" s="30">
        <v>1.367126E-3</v>
      </c>
    </row>
    <row r="68" spans="1:7" ht="30">
      <c r="A68" s="27" t="s">
        <v>179</v>
      </c>
      <c r="B68" s="27" t="s">
        <v>178</v>
      </c>
      <c r="C68" s="28">
        <v>18</v>
      </c>
      <c r="D68" s="28">
        <v>90</v>
      </c>
      <c r="E68" s="29" t="s">
        <v>78</v>
      </c>
      <c r="F68" s="29" t="s">
        <v>79</v>
      </c>
      <c r="G68" s="30">
        <v>9.4236937071</v>
      </c>
    </row>
    <row r="69" spans="1:7">
      <c r="A69" s="27" t="s">
        <v>180</v>
      </c>
      <c r="B69" s="27" t="s">
        <v>178</v>
      </c>
      <c r="C69" s="28">
        <v>0</v>
      </c>
      <c r="D69" s="28">
        <v>7</v>
      </c>
      <c r="E69" s="29" t="s">
        <v>48</v>
      </c>
      <c r="F69" s="29" t="s">
        <v>8</v>
      </c>
      <c r="G69" s="30">
        <v>2.4852399999999999E-5</v>
      </c>
    </row>
    <row r="70" spans="1:7">
      <c r="A70" s="27" t="s">
        <v>180</v>
      </c>
      <c r="B70" s="27" t="s">
        <v>178</v>
      </c>
      <c r="C70" s="28">
        <v>8</v>
      </c>
      <c r="D70" s="28">
        <v>17</v>
      </c>
      <c r="E70" s="29" t="s">
        <v>77</v>
      </c>
      <c r="F70" s="29" t="s">
        <v>51</v>
      </c>
      <c r="G70" s="30">
        <v>1.367126E-3</v>
      </c>
    </row>
    <row r="71" spans="1:7" ht="30">
      <c r="A71" s="27" t="s">
        <v>180</v>
      </c>
      <c r="B71" s="27" t="s">
        <v>178</v>
      </c>
      <c r="C71" s="28">
        <v>18</v>
      </c>
      <c r="D71" s="28">
        <v>90</v>
      </c>
      <c r="E71" s="29" t="s">
        <v>78</v>
      </c>
      <c r="F71" s="29" t="s">
        <v>79</v>
      </c>
      <c r="G71" s="30">
        <v>9.4236937071</v>
      </c>
    </row>
    <row r="72" spans="1:7">
      <c r="A72" s="27" t="s">
        <v>181</v>
      </c>
      <c r="B72" s="27" t="s">
        <v>182</v>
      </c>
      <c r="C72" s="28">
        <v>0</v>
      </c>
      <c r="D72" s="28">
        <v>5</v>
      </c>
      <c r="E72" s="29" t="s">
        <v>48</v>
      </c>
      <c r="F72" s="29" t="s">
        <v>60</v>
      </c>
      <c r="G72" s="30">
        <v>2.5971950000000001E-4</v>
      </c>
    </row>
    <row r="73" spans="1:7">
      <c r="A73" s="27" t="s">
        <v>181</v>
      </c>
      <c r="B73" s="27" t="s">
        <v>182</v>
      </c>
      <c r="C73" s="28">
        <v>6</v>
      </c>
      <c r="D73" s="28">
        <v>19</v>
      </c>
      <c r="E73" s="29" t="s">
        <v>80</v>
      </c>
      <c r="F73" s="29" t="s">
        <v>81</v>
      </c>
      <c r="G73" s="30">
        <v>1.7324476E-3</v>
      </c>
    </row>
    <row r="74" spans="1:7" ht="30">
      <c r="A74" s="27" t="s">
        <v>181</v>
      </c>
      <c r="B74" s="27" t="s">
        <v>182</v>
      </c>
      <c r="C74" s="28">
        <v>20</v>
      </c>
      <c r="D74" s="28">
        <v>90</v>
      </c>
      <c r="E74" s="29" t="s">
        <v>82</v>
      </c>
      <c r="F74" s="29" t="s">
        <v>79</v>
      </c>
      <c r="G74" s="30">
        <v>9.4236937071</v>
      </c>
    </row>
    <row r="75" spans="1:7">
      <c r="A75" s="27" t="s">
        <v>183</v>
      </c>
      <c r="B75" s="27" t="s">
        <v>182</v>
      </c>
      <c r="C75" s="28">
        <v>0</v>
      </c>
      <c r="D75" s="28">
        <v>7</v>
      </c>
      <c r="E75" s="29" t="s">
        <v>48</v>
      </c>
      <c r="F75" s="29" t="s">
        <v>60</v>
      </c>
      <c r="G75" s="30">
        <v>2.5971950000000001E-4</v>
      </c>
    </row>
    <row r="76" spans="1:7">
      <c r="A76" s="27" t="s">
        <v>183</v>
      </c>
      <c r="B76" s="27" t="s">
        <v>182</v>
      </c>
      <c r="C76" s="28">
        <v>9</v>
      </c>
      <c r="D76" s="28">
        <v>16</v>
      </c>
      <c r="E76" s="29" t="s">
        <v>80</v>
      </c>
      <c r="F76" s="29" t="s">
        <v>81</v>
      </c>
      <c r="G76" s="30">
        <v>1.7324476E-3</v>
      </c>
    </row>
    <row r="77" spans="1:7" ht="30">
      <c r="A77" s="27" t="s">
        <v>183</v>
      </c>
      <c r="B77" s="27" t="s">
        <v>182</v>
      </c>
      <c r="C77" s="28">
        <v>17</v>
      </c>
      <c r="D77" s="28">
        <v>90</v>
      </c>
      <c r="E77" s="29" t="s">
        <v>82</v>
      </c>
      <c r="F77" s="29" t="s">
        <v>79</v>
      </c>
      <c r="G77" s="30">
        <v>9.4236937071</v>
      </c>
    </row>
    <row r="78" spans="1:7">
      <c r="A78" s="27" t="s">
        <v>184</v>
      </c>
      <c r="B78" s="27" t="s">
        <v>185</v>
      </c>
      <c r="C78" s="28">
        <v>0</v>
      </c>
      <c r="D78" s="28">
        <v>6</v>
      </c>
      <c r="E78" s="29" t="s">
        <v>83</v>
      </c>
      <c r="F78" s="29" t="s">
        <v>8</v>
      </c>
      <c r="G78" s="30">
        <v>2.4852399999999999E-5</v>
      </c>
    </row>
    <row r="79" spans="1:7">
      <c r="A79" s="27" t="s">
        <v>184</v>
      </c>
      <c r="B79" s="27" t="s">
        <v>185</v>
      </c>
      <c r="C79" s="28">
        <v>7</v>
      </c>
      <c r="D79" s="28">
        <v>18</v>
      </c>
      <c r="E79" s="29" t="s">
        <v>80</v>
      </c>
      <c r="F79" s="29" t="s">
        <v>81</v>
      </c>
      <c r="G79" s="30">
        <v>1.7324476E-3</v>
      </c>
    </row>
    <row r="80" spans="1:7" ht="30">
      <c r="A80" s="27" t="s">
        <v>184</v>
      </c>
      <c r="B80" s="27" t="s">
        <v>185</v>
      </c>
      <c r="C80" s="28">
        <v>19</v>
      </c>
      <c r="D80" s="28">
        <v>90</v>
      </c>
      <c r="E80" s="29" t="s">
        <v>82</v>
      </c>
      <c r="F80" s="29" t="s">
        <v>79</v>
      </c>
      <c r="G80" s="30">
        <v>9.4236937071</v>
      </c>
    </row>
    <row r="81" spans="1:7">
      <c r="A81" s="27" t="s">
        <v>186</v>
      </c>
      <c r="B81" s="27" t="s">
        <v>185</v>
      </c>
      <c r="C81" s="28">
        <v>0</v>
      </c>
      <c r="D81" s="28">
        <v>5</v>
      </c>
      <c r="E81" s="29" t="s">
        <v>83</v>
      </c>
      <c r="F81" s="29" t="s">
        <v>8</v>
      </c>
      <c r="G81" s="30">
        <v>2.4852399999999999E-5</v>
      </c>
    </row>
    <row r="82" spans="1:7">
      <c r="A82" s="27" t="s">
        <v>186</v>
      </c>
      <c r="B82" s="27" t="s">
        <v>185</v>
      </c>
      <c r="C82" s="28">
        <v>6</v>
      </c>
      <c r="D82" s="28">
        <v>11</v>
      </c>
      <c r="E82" s="29" t="s">
        <v>80</v>
      </c>
      <c r="F82" s="29" t="s">
        <v>81</v>
      </c>
      <c r="G82" s="30">
        <v>1.7324476E-3</v>
      </c>
    </row>
    <row r="83" spans="1:7" ht="30">
      <c r="A83" s="27" t="s">
        <v>186</v>
      </c>
      <c r="B83" s="27" t="s">
        <v>185</v>
      </c>
      <c r="C83" s="28">
        <v>12</v>
      </c>
      <c r="D83" s="28">
        <v>90</v>
      </c>
      <c r="E83" s="29" t="s">
        <v>82</v>
      </c>
      <c r="F83" s="29" t="s">
        <v>79</v>
      </c>
      <c r="G83" s="30">
        <v>9.4236937071</v>
      </c>
    </row>
    <row r="84" spans="1:7">
      <c r="A84" s="27" t="s">
        <v>187</v>
      </c>
      <c r="B84" s="27" t="s">
        <v>188</v>
      </c>
      <c r="C84" s="28">
        <v>0</v>
      </c>
      <c r="D84" s="28">
        <v>28</v>
      </c>
      <c r="E84" s="29" t="s">
        <v>9</v>
      </c>
      <c r="F84" s="29" t="s">
        <v>8</v>
      </c>
      <c r="G84" s="30">
        <v>2.4852399999999999E-5</v>
      </c>
    </row>
    <row r="85" spans="1:7">
      <c r="A85" s="27" t="s">
        <v>187</v>
      </c>
      <c r="B85" s="27" t="s">
        <v>188</v>
      </c>
      <c r="C85" s="28">
        <v>29</v>
      </c>
      <c r="D85" s="28">
        <v>32</v>
      </c>
      <c r="E85" s="29" t="s">
        <v>84</v>
      </c>
      <c r="F85" s="29" t="s">
        <v>26</v>
      </c>
      <c r="G85" s="30">
        <v>2.7093997000000002E-3</v>
      </c>
    </row>
    <row r="86" spans="1:7" ht="30">
      <c r="A86" s="27" t="s">
        <v>187</v>
      </c>
      <c r="B86" s="27" t="s">
        <v>188</v>
      </c>
      <c r="C86" s="28">
        <v>33</v>
      </c>
      <c r="D86" s="28">
        <v>90</v>
      </c>
      <c r="E86" s="29" t="s">
        <v>85</v>
      </c>
      <c r="F86" s="29" t="s">
        <v>86</v>
      </c>
      <c r="G86" s="30">
        <v>0.13915108709999999</v>
      </c>
    </row>
    <row r="87" spans="1:7">
      <c r="A87" s="27" t="s">
        <v>189</v>
      </c>
      <c r="B87" s="27" t="s">
        <v>188</v>
      </c>
      <c r="C87" s="28">
        <v>0</v>
      </c>
      <c r="D87" s="28">
        <v>6</v>
      </c>
      <c r="E87" s="29" t="s">
        <v>9</v>
      </c>
      <c r="F87" s="29" t="s">
        <v>54</v>
      </c>
      <c r="G87" s="30">
        <v>2.5971950000000001E-4</v>
      </c>
    </row>
    <row r="88" spans="1:7">
      <c r="A88" s="27" t="s">
        <v>189</v>
      </c>
      <c r="B88" s="27" t="s">
        <v>188</v>
      </c>
      <c r="C88" s="28">
        <v>10</v>
      </c>
      <c r="D88" s="28">
        <v>18</v>
      </c>
      <c r="E88" s="29" t="s">
        <v>10</v>
      </c>
      <c r="F88" s="29" t="s">
        <v>8</v>
      </c>
      <c r="G88" s="30">
        <v>2.4852399999999999E-5</v>
      </c>
    </row>
    <row r="89" spans="1:7" ht="30">
      <c r="A89" s="27" t="s">
        <v>189</v>
      </c>
      <c r="B89" s="27" t="s">
        <v>188</v>
      </c>
      <c r="C89" s="28">
        <v>19</v>
      </c>
      <c r="D89" s="28">
        <v>31</v>
      </c>
      <c r="E89" s="29" t="s">
        <v>87</v>
      </c>
      <c r="F89" s="29" t="s">
        <v>67</v>
      </c>
      <c r="G89" s="30">
        <v>1.367126E-3</v>
      </c>
    </row>
    <row r="90" spans="1:7" ht="30">
      <c r="A90" s="27" t="s">
        <v>189</v>
      </c>
      <c r="B90" s="27" t="s">
        <v>188</v>
      </c>
      <c r="C90" s="28">
        <v>32</v>
      </c>
      <c r="D90" s="28">
        <v>90</v>
      </c>
      <c r="E90" s="29" t="s">
        <v>88</v>
      </c>
      <c r="F90" s="29" t="s">
        <v>89</v>
      </c>
      <c r="G90" s="30">
        <v>12.427424118199999</v>
      </c>
    </row>
    <row r="91" spans="1:7">
      <c r="A91" s="27" t="s">
        <v>190</v>
      </c>
      <c r="B91" s="27" t="s">
        <v>191</v>
      </c>
      <c r="C91" s="28">
        <v>0</v>
      </c>
      <c r="D91" s="28">
        <v>8</v>
      </c>
      <c r="E91" s="29" t="s">
        <v>9</v>
      </c>
      <c r="F91" s="29" t="s">
        <v>73</v>
      </c>
      <c r="G91" s="30">
        <v>2.5971950000000001E-4</v>
      </c>
    </row>
    <row r="92" spans="1:7">
      <c r="A92" s="27" t="s">
        <v>190</v>
      </c>
      <c r="B92" s="27" t="s">
        <v>191</v>
      </c>
      <c r="C92" s="28">
        <v>9</v>
      </c>
      <c r="D92" s="28">
        <v>20</v>
      </c>
      <c r="E92" s="29" t="s">
        <v>13</v>
      </c>
      <c r="F92" s="29" t="s">
        <v>8</v>
      </c>
      <c r="G92" s="30">
        <v>2.4852399999999999E-5</v>
      </c>
    </row>
    <row r="93" spans="1:7">
      <c r="A93" s="27" t="s">
        <v>190</v>
      </c>
      <c r="B93" s="27" t="s">
        <v>191</v>
      </c>
      <c r="C93" s="28">
        <v>21</v>
      </c>
      <c r="D93" s="28">
        <v>30</v>
      </c>
      <c r="E93" s="29" t="s">
        <v>90</v>
      </c>
      <c r="F93" s="29" t="s">
        <v>91</v>
      </c>
      <c r="G93" s="30">
        <v>1.7324476E-3</v>
      </c>
    </row>
    <row r="94" spans="1:7" ht="30">
      <c r="A94" s="27" t="s">
        <v>190</v>
      </c>
      <c r="B94" s="27" t="s">
        <v>191</v>
      </c>
      <c r="C94" s="28">
        <v>31</v>
      </c>
      <c r="D94" s="28">
        <v>90</v>
      </c>
      <c r="E94" s="29" t="s">
        <v>92</v>
      </c>
      <c r="F94" s="29" t="s">
        <v>93</v>
      </c>
      <c r="G94" s="30">
        <v>7.5394480759000002</v>
      </c>
    </row>
    <row r="95" spans="1:7">
      <c r="A95" s="27" t="s">
        <v>195</v>
      </c>
      <c r="B95" s="27" t="s">
        <v>191</v>
      </c>
      <c r="C95" s="28">
        <v>0</v>
      </c>
      <c r="D95" s="28">
        <v>6</v>
      </c>
      <c r="E95" s="29" t="s">
        <v>9</v>
      </c>
      <c r="F95" s="29" t="s">
        <v>54</v>
      </c>
      <c r="G95" s="30">
        <v>2.5971950000000001E-4</v>
      </c>
    </row>
    <row r="96" spans="1:7">
      <c r="A96" s="27" t="s">
        <v>195</v>
      </c>
      <c r="B96" s="27" t="s">
        <v>191</v>
      </c>
      <c r="C96" s="28">
        <v>7</v>
      </c>
      <c r="D96" s="28">
        <v>10</v>
      </c>
      <c r="E96" s="29" t="s">
        <v>13</v>
      </c>
      <c r="F96" s="29" t="s">
        <v>8</v>
      </c>
      <c r="G96" s="30">
        <v>2.4852399999999999E-5</v>
      </c>
    </row>
    <row r="97" spans="1:7">
      <c r="A97" s="27" t="s">
        <v>195</v>
      </c>
      <c r="B97" s="27" t="s">
        <v>191</v>
      </c>
      <c r="C97" s="28">
        <v>11</v>
      </c>
      <c r="D97" s="28">
        <v>31</v>
      </c>
      <c r="E97" s="29" t="s">
        <v>80</v>
      </c>
      <c r="F97" s="29" t="s">
        <v>67</v>
      </c>
      <c r="G97" s="30">
        <v>1.367126E-3</v>
      </c>
    </row>
    <row r="98" spans="1:7" ht="30">
      <c r="A98" s="27" t="s">
        <v>195</v>
      </c>
      <c r="B98" s="27" t="s">
        <v>191</v>
      </c>
      <c r="C98" s="28">
        <v>32</v>
      </c>
      <c r="D98" s="28">
        <v>90</v>
      </c>
      <c r="E98" s="29" t="s">
        <v>94</v>
      </c>
      <c r="F98" s="29" t="s">
        <v>95</v>
      </c>
      <c r="G98" s="30">
        <v>12.495757043599999</v>
      </c>
    </row>
    <row r="99" spans="1:7">
      <c r="A99" s="27" t="s">
        <v>194</v>
      </c>
      <c r="B99" s="27" t="s">
        <v>191</v>
      </c>
      <c r="C99" s="28">
        <v>0</v>
      </c>
      <c r="D99" s="28">
        <v>5</v>
      </c>
      <c r="E99" s="29" t="s">
        <v>9</v>
      </c>
      <c r="F99" s="29" t="s">
        <v>18</v>
      </c>
      <c r="G99" s="30">
        <v>2.5971950000000001E-4</v>
      </c>
    </row>
    <row r="100" spans="1:7">
      <c r="A100" s="27" t="s">
        <v>194</v>
      </c>
      <c r="B100" s="27" t="s">
        <v>191</v>
      </c>
      <c r="C100" s="28">
        <v>6</v>
      </c>
      <c r="D100" s="28">
        <v>10</v>
      </c>
      <c r="E100" s="29" t="s">
        <v>13</v>
      </c>
      <c r="F100" s="29" t="s">
        <v>8</v>
      </c>
      <c r="G100" s="30">
        <v>2.4852399999999999E-5</v>
      </c>
    </row>
    <row r="101" spans="1:7">
      <c r="A101" s="27" t="s">
        <v>194</v>
      </c>
      <c r="B101" s="27" t="s">
        <v>191</v>
      </c>
      <c r="C101" s="28">
        <v>11</v>
      </c>
      <c r="D101" s="28">
        <v>31</v>
      </c>
      <c r="E101" s="29" t="s">
        <v>80</v>
      </c>
      <c r="F101" s="29" t="s">
        <v>51</v>
      </c>
      <c r="G101" s="30">
        <v>1.367126E-3</v>
      </c>
    </row>
    <row r="102" spans="1:7" ht="30">
      <c r="A102" s="27" t="s">
        <v>194</v>
      </c>
      <c r="B102" s="27" t="s">
        <v>191</v>
      </c>
      <c r="C102" s="28">
        <v>32</v>
      </c>
      <c r="D102" s="28">
        <v>90</v>
      </c>
      <c r="E102" s="29" t="s">
        <v>94</v>
      </c>
      <c r="F102" s="29" t="s">
        <v>95</v>
      </c>
      <c r="G102" s="30">
        <v>12.495757043599999</v>
      </c>
    </row>
    <row r="103" spans="1:7">
      <c r="A103" s="27" t="s">
        <v>193</v>
      </c>
      <c r="B103" s="27" t="s">
        <v>192</v>
      </c>
      <c r="C103" s="28">
        <v>0</v>
      </c>
      <c r="D103" s="28">
        <v>9</v>
      </c>
      <c r="E103" s="29" t="s">
        <v>48</v>
      </c>
      <c r="F103" s="29" t="s">
        <v>60</v>
      </c>
      <c r="G103" s="30">
        <v>2.5971950000000001E-4</v>
      </c>
    </row>
    <row r="104" spans="1:7">
      <c r="A104" s="27" t="s">
        <v>193</v>
      </c>
      <c r="B104" s="27" t="s">
        <v>192</v>
      </c>
      <c r="C104" s="28">
        <v>10</v>
      </c>
      <c r="D104" s="28">
        <v>20</v>
      </c>
      <c r="E104" s="29" t="s">
        <v>13</v>
      </c>
      <c r="F104" s="29" t="s">
        <v>8</v>
      </c>
      <c r="G104" s="30">
        <v>2.4852399999999999E-5</v>
      </c>
    </row>
    <row r="105" spans="1:7">
      <c r="A105" s="27" t="s">
        <v>193</v>
      </c>
      <c r="B105" s="27" t="s">
        <v>192</v>
      </c>
      <c r="C105" s="28">
        <v>21</v>
      </c>
      <c r="D105" s="28">
        <v>32</v>
      </c>
      <c r="E105" s="29" t="s">
        <v>80</v>
      </c>
      <c r="F105" s="29" t="s">
        <v>81</v>
      </c>
      <c r="G105" s="30">
        <v>1.7324476E-3</v>
      </c>
    </row>
    <row r="106" spans="1:7" ht="30">
      <c r="A106" s="27" t="s">
        <v>193</v>
      </c>
      <c r="B106" s="27" t="s">
        <v>192</v>
      </c>
      <c r="C106" s="28">
        <v>33</v>
      </c>
      <c r="D106" s="28">
        <v>90</v>
      </c>
      <c r="E106" s="29" t="s">
        <v>96</v>
      </c>
      <c r="F106" s="29" t="s">
        <v>79</v>
      </c>
      <c r="G106" s="30">
        <v>9.4236937071</v>
      </c>
    </row>
    <row r="107" spans="1:7">
      <c r="A107" s="27" t="s">
        <v>196</v>
      </c>
      <c r="B107" s="27" t="s">
        <v>197</v>
      </c>
      <c r="C107" s="28">
        <v>0</v>
      </c>
      <c r="D107" s="28">
        <v>13</v>
      </c>
      <c r="E107" s="29" t="s">
        <v>48</v>
      </c>
      <c r="F107" s="29" t="s">
        <v>8</v>
      </c>
      <c r="G107" s="30">
        <v>2.4852399999999999E-5</v>
      </c>
    </row>
    <row r="108" spans="1:7">
      <c r="A108" s="27" t="s">
        <v>196</v>
      </c>
      <c r="B108" s="27" t="s">
        <v>197</v>
      </c>
      <c r="C108" s="28">
        <v>14</v>
      </c>
      <c r="D108" s="28">
        <v>27</v>
      </c>
      <c r="E108" s="29" t="s">
        <v>97</v>
      </c>
      <c r="F108" s="29" t="s">
        <v>23</v>
      </c>
      <c r="G108" s="30">
        <v>3.7057100000000001E-5</v>
      </c>
    </row>
    <row r="109" spans="1:7" ht="30">
      <c r="A109" s="27" t="s">
        <v>196</v>
      </c>
      <c r="B109" s="27" t="s">
        <v>197</v>
      </c>
      <c r="C109" s="28">
        <v>28</v>
      </c>
      <c r="D109" s="28">
        <v>90</v>
      </c>
      <c r="E109" s="29" t="s">
        <v>98</v>
      </c>
      <c r="F109" s="29" t="s">
        <v>79</v>
      </c>
      <c r="G109" s="30">
        <v>9.4236937071</v>
      </c>
    </row>
    <row r="110" spans="1:7">
      <c r="A110" s="27" t="s">
        <v>198</v>
      </c>
      <c r="B110" s="27" t="s">
        <v>199</v>
      </c>
      <c r="C110" s="28">
        <v>0</v>
      </c>
      <c r="D110" s="28">
        <v>6</v>
      </c>
      <c r="E110" s="29" t="s">
        <v>10</v>
      </c>
      <c r="F110" s="29" t="s">
        <v>28</v>
      </c>
      <c r="G110" s="30">
        <v>2.4655500000000001E-5</v>
      </c>
    </row>
    <row r="111" spans="1:7">
      <c r="A111" s="27" t="s">
        <v>198</v>
      </c>
      <c r="B111" s="27" t="s">
        <v>199</v>
      </c>
      <c r="C111" s="28">
        <v>7</v>
      </c>
      <c r="D111" s="28">
        <v>26</v>
      </c>
      <c r="E111" s="29" t="s">
        <v>22</v>
      </c>
      <c r="F111" s="29" t="s">
        <v>99</v>
      </c>
      <c r="G111" s="30">
        <v>3.2923199999999997E-5</v>
      </c>
    </row>
    <row r="112" spans="1:7">
      <c r="A112" s="27" t="s">
        <v>198</v>
      </c>
      <c r="B112" s="27" t="s">
        <v>199</v>
      </c>
      <c r="C112" s="28">
        <v>27</v>
      </c>
      <c r="D112" s="28">
        <v>90</v>
      </c>
      <c r="E112" s="29" t="s">
        <v>22</v>
      </c>
      <c r="F112" s="29" t="s">
        <v>21</v>
      </c>
      <c r="G112" s="30">
        <v>3.7057100000000001E-5</v>
      </c>
    </row>
    <row r="113" spans="1:7">
      <c r="A113" s="34" t="s">
        <v>200</v>
      </c>
      <c r="B113" s="34" t="s">
        <v>201</v>
      </c>
      <c r="C113" s="35">
        <v>0</v>
      </c>
      <c r="D113" s="35">
        <v>11</v>
      </c>
      <c r="E113" s="36" t="s">
        <v>9</v>
      </c>
      <c r="F113" s="36" t="s">
        <v>12</v>
      </c>
      <c r="G113" s="37">
        <v>1.4228590000000001E-4</v>
      </c>
    </row>
    <row r="114" spans="1:7">
      <c r="A114" s="34" t="s">
        <v>200</v>
      </c>
      <c r="B114" s="34" t="s">
        <v>201</v>
      </c>
      <c r="C114" s="35">
        <v>12</v>
      </c>
      <c r="D114" s="35">
        <v>21</v>
      </c>
      <c r="E114" s="36" t="s">
        <v>64</v>
      </c>
      <c r="F114" s="36" t="s">
        <v>18</v>
      </c>
      <c r="G114" s="37">
        <v>2.5971950000000001E-4</v>
      </c>
    </row>
    <row r="115" spans="1:7">
      <c r="A115" s="34" t="s">
        <v>200</v>
      </c>
      <c r="B115" s="34" t="s">
        <v>201</v>
      </c>
      <c r="C115" s="35">
        <v>22</v>
      </c>
      <c r="D115" s="35">
        <v>28</v>
      </c>
      <c r="E115" s="36" t="s">
        <v>100</v>
      </c>
      <c r="F115" s="36" t="s">
        <v>51</v>
      </c>
      <c r="G115" s="37">
        <v>1.367126E-3</v>
      </c>
    </row>
    <row r="116" spans="1:7" ht="30">
      <c r="A116" s="34" t="s">
        <v>200</v>
      </c>
      <c r="B116" s="34" t="s">
        <v>201</v>
      </c>
      <c r="C116" s="35">
        <v>29</v>
      </c>
      <c r="D116" s="35">
        <v>90</v>
      </c>
      <c r="E116" s="36" t="s">
        <v>101</v>
      </c>
      <c r="F116" s="36" t="s">
        <v>79</v>
      </c>
      <c r="G116" s="37">
        <v>9.4236937071</v>
      </c>
    </row>
    <row r="117" spans="1:7">
      <c r="A117" s="27" t="s">
        <v>202</v>
      </c>
      <c r="B117" s="27" t="s">
        <v>203</v>
      </c>
      <c r="C117" s="28">
        <v>0</v>
      </c>
      <c r="D117" s="28">
        <v>8</v>
      </c>
      <c r="E117" s="29" t="s">
        <v>9</v>
      </c>
      <c r="F117" s="29" t="s">
        <v>18</v>
      </c>
      <c r="G117" s="30">
        <v>2.5971950000000001E-4</v>
      </c>
    </row>
    <row r="118" spans="1:7">
      <c r="A118" s="27" t="s">
        <v>202</v>
      </c>
      <c r="B118" s="27" t="s">
        <v>203</v>
      </c>
      <c r="C118" s="28">
        <v>9</v>
      </c>
      <c r="D118" s="28">
        <v>35</v>
      </c>
      <c r="E118" s="29" t="s">
        <v>13</v>
      </c>
      <c r="F118" s="29" t="s">
        <v>8</v>
      </c>
      <c r="G118" s="30">
        <v>2.4852399999999999E-5</v>
      </c>
    </row>
    <row r="119" spans="1:7">
      <c r="A119" s="27" t="s">
        <v>202</v>
      </c>
      <c r="B119" s="27" t="s">
        <v>203</v>
      </c>
      <c r="C119" s="28">
        <v>36</v>
      </c>
      <c r="D119" s="28">
        <v>55</v>
      </c>
      <c r="E119" s="29" t="s">
        <v>102</v>
      </c>
      <c r="F119" s="29" t="s">
        <v>51</v>
      </c>
      <c r="G119" s="30">
        <v>1.367126E-3</v>
      </c>
    </row>
    <row r="120" spans="1:7" ht="30">
      <c r="A120" s="27" t="s">
        <v>202</v>
      </c>
      <c r="B120" s="27" t="s">
        <v>203</v>
      </c>
      <c r="C120" s="28">
        <v>56</v>
      </c>
      <c r="D120" s="28">
        <v>90</v>
      </c>
      <c r="E120" s="29" t="s">
        <v>11</v>
      </c>
      <c r="F120" s="29" t="s">
        <v>103</v>
      </c>
      <c r="G120" s="30">
        <v>1.3953617572499998E-3</v>
      </c>
    </row>
    <row r="121" spans="1:7">
      <c r="A121" s="27" t="s">
        <v>204</v>
      </c>
      <c r="B121" s="27" t="s">
        <v>205</v>
      </c>
      <c r="C121" s="28">
        <v>0</v>
      </c>
      <c r="D121" s="28">
        <v>10</v>
      </c>
      <c r="E121" s="29" t="s">
        <v>48</v>
      </c>
      <c r="F121" s="29" t="s">
        <v>8</v>
      </c>
      <c r="G121" s="30">
        <v>2.4852399999999999E-5</v>
      </c>
    </row>
    <row r="122" spans="1:7">
      <c r="A122" s="27" t="s">
        <v>204</v>
      </c>
      <c r="B122" s="27" t="s">
        <v>205</v>
      </c>
      <c r="C122" s="28">
        <v>11</v>
      </c>
      <c r="D122" s="28">
        <v>30</v>
      </c>
      <c r="E122" s="29" t="s">
        <v>104</v>
      </c>
      <c r="F122" s="29" t="s">
        <v>26</v>
      </c>
      <c r="G122" s="30">
        <v>2.7093997000000002E-3</v>
      </c>
    </row>
    <row r="123" spans="1:7">
      <c r="A123" s="27" t="s">
        <v>204</v>
      </c>
      <c r="B123" s="27" t="s">
        <v>205</v>
      </c>
      <c r="C123" s="28">
        <v>31</v>
      </c>
      <c r="D123" s="28">
        <v>90</v>
      </c>
      <c r="E123" s="29" t="s">
        <v>105</v>
      </c>
      <c r="F123" s="29" t="s">
        <v>106</v>
      </c>
      <c r="G123" s="30">
        <v>2.4741634999999999E-3</v>
      </c>
    </row>
    <row r="124" spans="1:7">
      <c r="A124" s="27" t="s">
        <v>211</v>
      </c>
      <c r="B124" s="27" t="s">
        <v>205</v>
      </c>
      <c r="C124" s="28">
        <v>0</v>
      </c>
      <c r="D124" s="28">
        <v>10</v>
      </c>
      <c r="E124" s="29" t="s">
        <v>48</v>
      </c>
      <c r="F124" s="29" t="s">
        <v>8</v>
      </c>
      <c r="G124" s="30">
        <v>2.4852399999999999E-5</v>
      </c>
    </row>
    <row r="125" spans="1:7">
      <c r="A125" s="27" t="s">
        <v>211</v>
      </c>
      <c r="B125" s="27" t="s">
        <v>205</v>
      </c>
      <c r="C125" s="28">
        <v>11</v>
      </c>
      <c r="D125" s="28">
        <v>27</v>
      </c>
      <c r="E125" s="29" t="s">
        <v>107</v>
      </c>
      <c r="F125" s="29" t="s">
        <v>67</v>
      </c>
      <c r="G125" s="30">
        <v>1.367126E-3</v>
      </c>
    </row>
    <row r="126" spans="1:7">
      <c r="A126" s="27" t="s">
        <v>211</v>
      </c>
      <c r="B126" s="27" t="s">
        <v>205</v>
      </c>
      <c r="C126" s="28">
        <v>28</v>
      </c>
      <c r="D126" s="28">
        <v>90</v>
      </c>
      <c r="E126" s="29" t="s">
        <v>108</v>
      </c>
      <c r="F126" s="29" t="s">
        <v>109</v>
      </c>
      <c r="G126" s="30">
        <v>1.0839709377</v>
      </c>
    </row>
    <row r="127" spans="1:7">
      <c r="A127" s="27" t="s">
        <v>210</v>
      </c>
      <c r="B127" s="27" t="s">
        <v>205</v>
      </c>
      <c r="C127" s="28">
        <v>0</v>
      </c>
      <c r="D127" s="28">
        <v>7</v>
      </c>
      <c r="E127" s="29" t="s">
        <v>48</v>
      </c>
      <c r="F127" s="29" t="s">
        <v>8</v>
      </c>
      <c r="G127" s="30">
        <v>2.4852399999999999E-5</v>
      </c>
    </row>
    <row r="128" spans="1:7">
      <c r="A128" s="27" t="s">
        <v>210</v>
      </c>
      <c r="B128" s="27" t="s">
        <v>205</v>
      </c>
      <c r="C128" s="28">
        <v>8</v>
      </c>
      <c r="D128" s="28">
        <v>30</v>
      </c>
      <c r="E128" s="29" t="s">
        <v>104</v>
      </c>
      <c r="F128" s="29" t="s">
        <v>26</v>
      </c>
      <c r="G128" s="30">
        <v>2.7093997000000002E-3</v>
      </c>
    </row>
    <row r="129" spans="1:7">
      <c r="A129" s="27" t="s">
        <v>210</v>
      </c>
      <c r="B129" s="27" t="s">
        <v>205</v>
      </c>
      <c r="C129" s="28">
        <v>31</v>
      </c>
      <c r="D129" s="28">
        <v>90</v>
      </c>
      <c r="E129" s="29" t="s">
        <v>105</v>
      </c>
      <c r="F129" s="29" t="s">
        <v>106</v>
      </c>
      <c r="G129" s="30">
        <v>2.4741634999999999E-3</v>
      </c>
    </row>
    <row r="130" spans="1:7">
      <c r="A130" s="27" t="s">
        <v>209</v>
      </c>
      <c r="B130" s="27" t="s">
        <v>206</v>
      </c>
      <c r="C130" s="28">
        <v>0</v>
      </c>
      <c r="D130" s="28">
        <v>6</v>
      </c>
      <c r="E130" s="29" t="s">
        <v>83</v>
      </c>
      <c r="F130" s="29" t="s">
        <v>8</v>
      </c>
      <c r="G130" s="30">
        <v>2.4852399999999999E-5</v>
      </c>
    </row>
    <row r="131" spans="1:7">
      <c r="A131" s="27" t="s">
        <v>209</v>
      </c>
      <c r="B131" s="27" t="s">
        <v>206</v>
      </c>
      <c r="C131" s="28">
        <v>7</v>
      </c>
      <c r="D131" s="28">
        <v>22</v>
      </c>
      <c r="E131" s="29" t="s">
        <v>107</v>
      </c>
      <c r="F131" s="29" t="s">
        <v>51</v>
      </c>
      <c r="G131" s="30">
        <v>1.367126E-3</v>
      </c>
    </row>
    <row r="132" spans="1:7">
      <c r="A132" s="27" t="s">
        <v>209</v>
      </c>
      <c r="B132" s="27" t="s">
        <v>206</v>
      </c>
      <c r="C132" s="28">
        <v>23</v>
      </c>
      <c r="D132" s="28">
        <v>90</v>
      </c>
      <c r="E132" s="29" t="s">
        <v>76</v>
      </c>
      <c r="F132" s="29" t="s">
        <v>110</v>
      </c>
      <c r="G132" s="30">
        <v>2.4753938000000001E-3</v>
      </c>
    </row>
    <row r="133" spans="1:7">
      <c r="A133" s="27" t="s">
        <v>208</v>
      </c>
      <c r="B133" s="27" t="s">
        <v>205</v>
      </c>
      <c r="C133" s="28">
        <v>0</v>
      </c>
      <c r="D133" s="28">
        <v>7</v>
      </c>
      <c r="E133" s="29" t="s">
        <v>48</v>
      </c>
      <c r="F133" s="29" t="s">
        <v>8</v>
      </c>
      <c r="G133" s="30">
        <v>2.4852399999999999E-5</v>
      </c>
    </row>
    <row r="134" spans="1:7">
      <c r="A134" s="27" t="s">
        <v>208</v>
      </c>
      <c r="B134" s="27" t="s">
        <v>205</v>
      </c>
      <c r="C134" s="28">
        <v>8</v>
      </c>
      <c r="D134" s="28">
        <v>10</v>
      </c>
      <c r="E134" s="29" t="s">
        <v>104</v>
      </c>
      <c r="F134" s="29" t="s">
        <v>26</v>
      </c>
      <c r="G134" s="30">
        <v>2.7093997000000002E-3</v>
      </c>
    </row>
    <row r="135" spans="1:7">
      <c r="A135" s="27" t="s">
        <v>208</v>
      </c>
      <c r="B135" s="27" t="s">
        <v>205</v>
      </c>
      <c r="C135" s="28">
        <v>31</v>
      </c>
      <c r="D135" s="28">
        <v>90</v>
      </c>
      <c r="E135" s="29" t="s">
        <v>105</v>
      </c>
      <c r="F135" s="29" t="s">
        <v>106</v>
      </c>
      <c r="G135" s="30">
        <v>2.4741634999999999E-3</v>
      </c>
    </row>
    <row r="136" spans="1:7">
      <c r="A136" s="27" t="s">
        <v>207</v>
      </c>
      <c r="B136" s="27" t="s">
        <v>206</v>
      </c>
      <c r="C136" s="28">
        <v>0</v>
      </c>
      <c r="D136" s="28">
        <v>6</v>
      </c>
      <c r="E136" s="29" t="s">
        <v>83</v>
      </c>
      <c r="F136" s="29" t="s">
        <v>8</v>
      </c>
      <c r="G136" s="30">
        <v>2.4852399999999999E-5</v>
      </c>
    </row>
    <row r="137" spans="1:7">
      <c r="A137" s="27" t="s">
        <v>207</v>
      </c>
      <c r="B137" s="27" t="s">
        <v>206</v>
      </c>
      <c r="C137" s="28">
        <v>7</v>
      </c>
      <c r="D137" s="28">
        <v>22</v>
      </c>
      <c r="E137" s="29" t="s">
        <v>107</v>
      </c>
      <c r="F137" s="29" t="s">
        <v>51</v>
      </c>
      <c r="G137" s="30">
        <v>1.367126E-3</v>
      </c>
    </row>
    <row r="138" spans="1:7">
      <c r="A138" s="27" t="s">
        <v>207</v>
      </c>
      <c r="B138" s="27" t="s">
        <v>206</v>
      </c>
      <c r="C138" s="28">
        <v>23</v>
      </c>
      <c r="D138" s="28">
        <v>90</v>
      </c>
      <c r="E138" s="29" t="s">
        <v>76</v>
      </c>
      <c r="F138" s="29" t="s">
        <v>111</v>
      </c>
      <c r="G138" s="30">
        <v>2.5874754999999998E-3</v>
      </c>
    </row>
    <row r="139" spans="1:7">
      <c r="A139" s="27" t="s">
        <v>212</v>
      </c>
      <c r="B139" s="27" t="s">
        <v>213</v>
      </c>
      <c r="C139" s="28">
        <v>0</v>
      </c>
      <c r="D139" s="28">
        <v>23</v>
      </c>
      <c r="E139" s="29" t="s">
        <v>48</v>
      </c>
      <c r="F139" s="29" t="s">
        <v>8</v>
      </c>
      <c r="G139" s="30">
        <v>2.4852399999999999E-5</v>
      </c>
    </row>
    <row r="140" spans="1:7">
      <c r="A140" s="27" t="s">
        <v>212</v>
      </c>
      <c r="B140" s="27" t="s">
        <v>213</v>
      </c>
      <c r="C140" s="28">
        <v>24</v>
      </c>
      <c r="D140" s="28">
        <v>26</v>
      </c>
      <c r="E140" s="29" t="s">
        <v>112</v>
      </c>
      <c r="F140" s="29" t="s">
        <v>26</v>
      </c>
      <c r="G140" s="30">
        <v>2.7093997000000002E-3</v>
      </c>
    </row>
    <row r="141" spans="1:7">
      <c r="A141" s="27" t="s">
        <v>212</v>
      </c>
      <c r="B141" s="27" t="s">
        <v>213</v>
      </c>
      <c r="C141" s="28">
        <v>27</v>
      </c>
      <c r="D141" s="28">
        <v>90</v>
      </c>
      <c r="E141" s="29" t="s">
        <v>108</v>
      </c>
      <c r="F141" s="29" t="s">
        <v>24</v>
      </c>
      <c r="G141" s="30">
        <v>2.5874754999999998E-3</v>
      </c>
    </row>
    <row r="142" spans="1:7">
      <c r="A142" s="27" t="s">
        <v>214</v>
      </c>
      <c r="B142" s="27" t="s">
        <v>215</v>
      </c>
      <c r="C142" s="28">
        <v>0</v>
      </c>
      <c r="D142" s="28">
        <v>37</v>
      </c>
      <c r="E142" s="29" t="s">
        <v>9</v>
      </c>
      <c r="F142" s="29" t="s">
        <v>8</v>
      </c>
      <c r="G142" s="30">
        <v>2.4852399999999999E-5</v>
      </c>
    </row>
    <row r="143" spans="1:7">
      <c r="A143" s="27" t="s">
        <v>214</v>
      </c>
      <c r="B143" s="27" t="s">
        <v>215</v>
      </c>
      <c r="C143" s="28">
        <v>38</v>
      </c>
      <c r="D143" s="28">
        <v>54</v>
      </c>
      <c r="E143" s="29" t="s">
        <v>113</v>
      </c>
      <c r="F143" s="29" t="s">
        <v>62</v>
      </c>
      <c r="G143" s="30">
        <v>1.4235974999999999E-3</v>
      </c>
    </row>
    <row r="144" spans="1:7" ht="30">
      <c r="A144" s="27" t="s">
        <v>214</v>
      </c>
      <c r="B144" s="27" t="s">
        <v>215</v>
      </c>
      <c r="C144" s="28">
        <v>55</v>
      </c>
      <c r="D144" s="28">
        <v>90</v>
      </c>
      <c r="E144" s="29" t="s">
        <v>114</v>
      </c>
      <c r="F144" s="29" t="s">
        <v>79</v>
      </c>
      <c r="G144" s="30">
        <v>9.4236937071</v>
      </c>
    </row>
    <row r="145" spans="1:7">
      <c r="A145" s="27" t="s">
        <v>216</v>
      </c>
      <c r="B145" s="27" t="s">
        <v>217</v>
      </c>
      <c r="C145" s="28">
        <v>0</v>
      </c>
      <c r="D145" s="28">
        <v>43</v>
      </c>
      <c r="E145" s="29" t="s">
        <v>48</v>
      </c>
      <c r="F145" s="29" t="s">
        <v>8</v>
      </c>
      <c r="G145" s="30">
        <v>2.4852399999999999E-5</v>
      </c>
    </row>
    <row r="146" spans="1:7">
      <c r="A146" s="27" t="s">
        <v>216</v>
      </c>
      <c r="B146" s="27" t="s">
        <v>217</v>
      </c>
      <c r="C146" s="28">
        <v>44</v>
      </c>
      <c r="D146" s="28">
        <v>90</v>
      </c>
      <c r="E146" s="29" t="s">
        <v>115</v>
      </c>
      <c r="F146" s="29" t="s">
        <v>116</v>
      </c>
      <c r="G146" s="30">
        <v>7.0808319199999997E-2</v>
      </c>
    </row>
    <row r="147" spans="1:7">
      <c r="A147" s="27" t="s">
        <v>218</v>
      </c>
      <c r="B147" s="27" t="s">
        <v>219</v>
      </c>
      <c r="C147" s="28">
        <v>0</v>
      </c>
      <c r="D147" s="28">
        <v>34</v>
      </c>
      <c r="E147" s="29" t="s">
        <v>10</v>
      </c>
      <c r="F147" s="29" t="s">
        <v>8</v>
      </c>
      <c r="G147" s="30">
        <v>2.4852399999999999E-5</v>
      </c>
    </row>
    <row r="148" spans="1:7">
      <c r="A148" s="27" t="s">
        <v>218</v>
      </c>
      <c r="B148" s="27" t="s">
        <v>219</v>
      </c>
      <c r="C148" s="28">
        <v>35</v>
      </c>
      <c r="D148" s="28">
        <v>43</v>
      </c>
      <c r="E148" s="29" t="s">
        <v>117</v>
      </c>
      <c r="F148" s="29" t="s">
        <v>51</v>
      </c>
      <c r="G148" s="30">
        <v>1.367126E-3</v>
      </c>
    </row>
    <row r="149" spans="1:7" ht="30">
      <c r="A149" s="27" t="s">
        <v>218</v>
      </c>
      <c r="B149" s="27" t="s">
        <v>219</v>
      </c>
      <c r="C149" s="28">
        <v>44</v>
      </c>
      <c r="D149" s="28">
        <v>90</v>
      </c>
      <c r="E149" s="29" t="s">
        <v>118</v>
      </c>
      <c r="F149" s="29" t="s">
        <v>119</v>
      </c>
      <c r="G149" s="30">
        <v>3.1428814982</v>
      </c>
    </row>
    <row r="150" spans="1:7">
      <c r="A150" s="27" t="s">
        <v>220</v>
      </c>
      <c r="B150" s="27" t="s">
        <v>221</v>
      </c>
      <c r="C150" s="28">
        <v>0</v>
      </c>
      <c r="D150" s="28">
        <v>10</v>
      </c>
      <c r="E150" s="29" t="s">
        <v>9</v>
      </c>
      <c r="F150" s="29" t="s">
        <v>8</v>
      </c>
      <c r="G150" s="30">
        <v>2.4852399999999999E-5</v>
      </c>
    </row>
    <row r="151" spans="1:7">
      <c r="A151" s="27" t="s">
        <v>220</v>
      </c>
      <c r="B151" s="27" t="s">
        <v>221</v>
      </c>
      <c r="C151" s="28">
        <v>11</v>
      </c>
      <c r="D151" s="28">
        <v>32</v>
      </c>
      <c r="E151" s="29" t="s">
        <v>13</v>
      </c>
      <c r="F151" s="29" t="s">
        <v>18</v>
      </c>
      <c r="G151" s="30">
        <v>2.5971950000000001E-4</v>
      </c>
    </row>
    <row r="152" spans="1:7">
      <c r="A152" s="27" t="s">
        <v>220</v>
      </c>
      <c r="B152" s="27" t="s">
        <v>221</v>
      </c>
      <c r="C152" s="28">
        <v>33</v>
      </c>
      <c r="D152" s="28">
        <v>38</v>
      </c>
      <c r="E152" s="29" t="s">
        <v>120</v>
      </c>
      <c r="F152" s="29" t="s">
        <v>51</v>
      </c>
      <c r="G152" s="30">
        <v>1.367126E-3</v>
      </c>
    </row>
    <row r="153" spans="1:7" ht="30">
      <c r="A153" s="27" t="s">
        <v>220</v>
      </c>
      <c r="B153" s="27" t="s">
        <v>221</v>
      </c>
      <c r="C153" s="28">
        <v>39</v>
      </c>
      <c r="D153" s="28">
        <v>90</v>
      </c>
      <c r="E153" s="29" t="s">
        <v>121</v>
      </c>
      <c r="F153" s="29" t="s">
        <v>119</v>
      </c>
      <c r="G153" s="30">
        <v>3.1428814982</v>
      </c>
    </row>
    <row r="154" spans="1:7">
      <c r="A154" s="27" t="s">
        <v>222</v>
      </c>
      <c r="B154" s="27" t="s">
        <v>223</v>
      </c>
      <c r="C154" s="28">
        <v>0</v>
      </c>
      <c r="D154" s="28">
        <v>13</v>
      </c>
      <c r="E154" s="29" t="s">
        <v>48</v>
      </c>
      <c r="F154" s="29" t="s">
        <v>18</v>
      </c>
      <c r="G154" s="30">
        <v>2.5971950000000001E-4</v>
      </c>
    </row>
    <row r="155" spans="1:7">
      <c r="A155" s="27" t="s">
        <v>222</v>
      </c>
      <c r="B155" s="27" t="s">
        <v>223</v>
      </c>
      <c r="C155" s="28">
        <v>14</v>
      </c>
      <c r="D155" s="28">
        <v>37</v>
      </c>
      <c r="E155" s="29" t="s">
        <v>122</v>
      </c>
      <c r="F155" s="29" t="s">
        <v>8</v>
      </c>
      <c r="G155" s="30">
        <v>2.4852399999999999E-5</v>
      </c>
    </row>
    <row r="156" spans="1:7" ht="30">
      <c r="A156" s="27" t="s">
        <v>222</v>
      </c>
      <c r="B156" s="27" t="s">
        <v>223</v>
      </c>
      <c r="C156" s="28">
        <v>38</v>
      </c>
      <c r="D156" s="28">
        <v>45</v>
      </c>
      <c r="E156" s="29" t="s">
        <v>123</v>
      </c>
      <c r="F156" s="29" t="s">
        <v>124</v>
      </c>
      <c r="G156" s="30">
        <v>1.3953618E-3</v>
      </c>
    </row>
    <row r="157" spans="1:7">
      <c r="A157" s="27" t="s">
        <v>222</v>
      </c>
      <c r="B157" s="27" t="s">
        <v>223</v>
      </c>
      <c r="C157" s="28">
        <v>46</v>
      </c>
      <c r="D157" s="28">
        <v>90</v>
      </c>
      <c r="E157" s="29" t="s">
        <v>115</v>
      </c>
      <c r="F157" s="29" t="s">
        <v>125</v>
      </c>
      <c r="G157" s="30">
        <v>4.8068038E-2</v>
      </c>
    </row>
    <row r="158" spans="1:7">
      <c r="A158" s="27" t="s">
        <v>224</v>
      </c>
      <c r="B158" s="27" t="s">
        <v>225</v>
      </c>
      <c r="C158" s="28">
        <v>0</v>
      </c>
      <c r="D158" s="28">
        <v>10</v>
      </c>
      <c r="E158" s="29" t="s">
        <v>9</v>
      </c>
      <c r="F158" s="29" t="s">
        <v>18</v>
      </c>
      <c r="G158" s="30">
        <v>2.5971950000000001E-4</v>
      </c>
    </row>
    <row r="159" spans="1:7">
      <c r="A159" s="27" t="s">
        <v>224</v>
      </c>
      <c r="B159" s="27" t="s">
        <v>225</v>
      </c>
      <c r="C159" s="28">
        <v>10</v>
      </c>
      <c r="D159" s="28">
        <v>90</v>
      </c>
      <c r="E159" s="29" t="s">
        <v>126</v>
      </c>
      <c r="F159" s="29" t="s">
        <v>8</v>
      </c>
      <c r="G159" s="30">
        <v>2.4852399999999999E-5</v>
      </c>
    </row>
    <row r="160" spans="1:7">
      <c r="A160" s="27" t="s">
        <v>227</v>
      </c>
      <c r="B160" s="27" t="s">
        <v>225</v>
      </c>
      <c r="C160" s="31">
        <v>0</v>
      </c>
      <c r="D160" s="31">
        <v>10</v>
      </c>
      <c r="E160" s="32" t="s">
        <v>9</v>
      </c>
      <c r="F160" s="32" t="s">
        <v>8</v>
      </c>
      <c r="G160" s="33">
        <v>2.4852399999999999E-5</v>
      </c>
    </row>
    <row r="161" spans="1:7">
      <c r="A161" s="27" t="s">
        <v>226</v>
      </c>
      <c r="B161" s="27" t="s">
        <v>225</v>
      </c>
      <c r="C161" s="31">
        <v>11</v>
      </c>
      <c r="D161" s="31">
        <v>26</v>
      </c>
      <c r="E161" s="32" t="s">
        <v>63</v>
      </c>
      <c r="F161" s="32" t="s">
        <v>21</v>
      </c>
      <c r="G161" s="33">
        <v>3.7057100000000001E-5</v>
      </c>
    </row>
    <row r="162" spans="1:7">
      <c r="A162" s="27" t="s">
        <v>226</v>
      </c>
      <c r="B162" s="27" t="s">
        <v>225</v>
      </c>
      <c r="C162" s="31">
        <v>27</v>
      </c>
      <c r="D162" s="31">
        <v>90</v>
      </c>
      <c r="E162" s="32" t="s">
        <v>22</v>
      </c>
      <c r="F162" s="32" t="s">
        <v>8</v>
      </c>
      <c r="G162" s="33">
        <v>2.4852399999999999E-5</v>
      </c>
    </row>
    <row r="163" spans="1:7">
      <c r="A163" s="27" t="s">
        <v>228</v>
      </c>
      <c r="B163" s="27" t="s">
        <v>229</v>
      </c>
      <c r="C163" s="28">
        <v>0</v>
      </c>
      <c r="D163" s="28">
        <v>13</v>
      </c>
      <c r="E163" s="29" t="s">
        <v>9</v>
      </c>
      <c r="F163" s="29" t="s">
        <v>12</v>
      </c>
      <c r="G163" s="30">
        <v>1.4228590000000001E-4</v>
      </c>
    </row>
    <row r="164" spans="1:7">
      <c r="A164" s="27" t="s">
        <v>228</v>
      </c>
      <c r="B164" s="27" t="s">
        <v>229</v>
      </c>
      <c r="C164" s="28">
        <v>14</v>
      </c>
      <c r="D164" s="28">
        <v>26</v>
      </c>
      <c r="E164" s="29" t="s">
        <v>13</v>
      </c>
      <c r="F164" s="29" t="s">
        <v>54</v>
      </c>
      <c r="G164" s="30">
        <v>2.5971950000000001E-4</v>
      </c>
    </row>
    <row r="165" spans="1:7" ht="30">
      <c r="A165" s="27" t="s">
        <v>228</v>
      </c>
      <c r="B165" s="27" t="s">
        <v>229</v>
      </c>
      <c r="C165" s="28">
        <v>27</v>
      </c>
      <c r="D165" s="28">
        <v>46</v>
      </c>
      <c r="E165" s="29" t="s">
        <v>127</v>
      </c>
      <c r="F165" s="29" t="s">
        <v>128</v>
      </c>
      <c r="G165" s="30">
        <v>1.1908219E-3</v>
      </c>
    </row>
    <row r="166" spans="1:7" ht="30">
      <c r="A166" s="27" t="s">
        <v>228</v>
      </c>
      <c r="B166" s="27" t="s">
        <v>229</v>
      </c>
      <c r="C166" s="28">
        <v>47</v>
      </c>
      <c r="D166" s="28">
        <v>90</v>
      </c>
      <c r="E166" s="29" t="s">
        <v>70</v>
      </c>
      <c r="F166" s="29" t="s">
        <v>119</v>
      </c>
      <c r="G166" s="30">
        <v>3.1428814982</v>
      </c>
    </row>
    <row r="167" spans="1:7">
      <c r="A167" s="27" t="s">
        <v>230</v>
      </c>
      <c r="B167" s="27" t="s">
        <v>231</v>
      </c>
      <c r="C167" s="28">
        <v>0</v>
      </c>
      <c r="D167" s="28">
        <v>10</v>
      </c>
      <c r="E167" s="29" t="s">
        <v>9</v>
      </c>
      <c r="F167" s="29" t="s">
        <v>12</v>
      </c>
      <c r="G167" s="30">
        <v>1.4228590000000001E-4</v>
      </c>
    </row>
    <row r="168" spans="1:7">
      <c r="A168" s="27" t="s">
        <v>230</v>
      </c>
      <c r="B168" s="27" t="s">
        <v>231</v>
      </c>
      <c r="C168" s="28">
        <v>11</v>
      </c>
      <c r="D168" s="28">
        <v>27</v>
      </c>
      <c r="E168" s="29" t="s">
        <v>13</v>
      </c>
      <c r="F168" s="29" t="s">
        <v>8</v>
      </c>
      <c r="G168" s="30">
        <v>2.4852399999999999E-5</v>
      </c>
    </row>
    <row r="169" spans="1:7">
      <c r="A169" s="27" t="s">
        <v>230</v>
      </c>
      <c r="B169" s="27" t="s">
        <v>231</v>
      </c>
      <c r="C169" s="28">
        <v>28</v>
      </c>
      <c r="D169" s="28">
        <v>44</v>
      </c>
      <c r="E169" s="29" t="s">
        <v>107</v>
      </c>
      <c r="F169" s="29" t="s">
        <v>51</v>
      </c>
      <c r="G169" s="30">
        <v>1.367126E-3</v>
      </c>
    </row>
    <row r="170" spans="1:7" ht="30">
      <c r="A170" s="27" t="s">
        <v>230</v>
      </c>
      <c r="B170" s="27" t="s">
        <v>231</v>
      </c>
      <c r="C170" s="28">
        <v>45</v>
      </c>
      <c r="D170" s="28">
        <v>90</v>
      </c>
      <c r="E170" s="29" t="s">
        <v>82</v>
      </c>
      <c r="F170" s="29" t="s">
        <v>79</v>
      </c>
      <c r="G170" s="30">
        <v>9.4236937071</v>
      </c>
    </row>
    <row r="171" spans="1:7">
      <c r="A171" s="27" t="s">
        <v>233</v>
      </c>
      <c r="B171" s="27" t="s">
        <v>231</v>
      </c>
      <c r="C171" s="28">
        <v>0</v>
      </c>
      <c r="D171" s="28">
        <v>10</v>
      </c>
      <c r="E171" s="29" t="s">
        <v>9</v>
      </c>
      <c r="F171" s="29" t="s">
        <v>12</v>
      </c>
      <c r="G171" s="30">
        <v>1.4228590000000001E-4</v>
      </c>
    </row>
    <row r="172" spans="1:7">
      <c r="A172" s="27" t="s">
        <v>233</v>
      </c>
      <c r="B172" s="27" t="s">
        <v>231</v>
      </c>
      <c r="C172" s="28">
        <v>11</v>
      </c>
      <c r="D172" s="28">
        <v>37</v>
      </c>
      <c r="E172" s="29" t="s">
        <v>13</v>
      </c>
      <c r="F172" s="29" t="s">
        <v>8</v>
      </c>
      <c r="G172" s="30">
        <v>2.4852399999999999E-5</v>
      </c>
    </row>
    <row r="173" spans="1:7">
      <c r="A173" s="27" t="s">
        <v>233</v>
      </c>
      <c r="B173" s="27" t="s">
        <v>231</v>
      </c>
      <c r="C173" s="28">
        <v>38</v>
      </c>
      <c r="D173" s="28">
        <v>44</v>
      </c>
      <c r="E173" s="29" t="s">
        <v>107</v>
      </c>
      <c r="F173" s="29" t="s">
        <v>51</v>
      </c>
      <c r="G173" s="30">
        <v>1.367126E-3</v>
      </c>
    </row>
    <row r="174" spans="1:7" ht="30">
      <c r="A174" s="27" t="s">
        <v>233</v>
      </c>
      <c r="B174" s="27" t="s">
        <v>231</v>
      </c>
      <c r="C174" s="28">
        <v>45</v>
      </c>
      <c r="D174" s="28">
        <v>90</v>
      </c>
      <c r="E174" s="29" t="s">
        <v>82</v>
      </c>
      <c r="F174" s="29" t="s">
        <v>129</v>
      </c>
      <c r="G174" s="30">
        <v>9.4236937071</v>
      </c>
    </row>
    <row r="175" spans="1:7">
      <c r="A175" s="27" t="s">
        <v>232</v>
      </c>
      <c r="B175" s="27" t="s">
        <v>231</v>
      </c>
      <c r="C175" s="28">
        <v>0</v>
      </c>
      <c r="D175" s="28">
        <v>10</v>
      </c>
      <c r="E175" s="29" t="s">
        <v>9</v>
      </c>
      <c r="F175" s="29" t="s">
        <v>12</v>
      </c>
      <c r="G175" s="30">
        <v>1.4228590000000001E-4</v>
      </c>
    </row>
    <row r="176" spans="1:7">
      <c r="A176" s="27" t="s">
        <v>232</v>
      </c>
      <c r="B176" s="27" t="s">
        <v>231</v>
      </c>
      <c r="C176" s="28">
        <v>11</v>
      </c>
      <c r="D176" s="28">
        <v>37</v>
      </c>
      <c r="E176" s="29" t="s">
        <v>13</v>
      </c>
      <c r="F176" s="29" t="s">
        <v>8</v>
      </c>
      <c r="G176" s="30">
        <v>2.4852399999999999E-5</v>
      </c>
    </row>
    <row r="177" spans="1:7">
      <c r="A177" s="27" t="s">
        <v>232</v>
      </c>
      <c r="B177" s="27" t="s">
        <v>231</v>
      </c>
      <c r="C177" s="28">
        <v>38</v>
      </c>
      <c r="D177" s="28">
        <v>44</v>
      </c>
      <c r="E177" s="29" t="s">
        <v>107</v>
      </c>
      <c r="F177" s="29" t="s">
        <v>51</v>
      </c>
      <c r="G177" s="30">
        <v>1.367126E-3</v>
      </c>
    </row>
    <row r="178" spans="1:7" ht="30">
      <c r="A178" s="27" t="s">
        <v>232</v>
      </c>
      <c r="B178" s="27" t="s">
        <v>231</v>
      </c>
      <c r="C178" s="28">
        <v>45</v>
      </c>
      <c r="D178" s="28">
        <v>90</v>
      </c>
      <c r="E178" s="29" t="s">
        <v>82</v>
      </c>
      <c r="F178" s="29" t="s">
        <v>79</v>
      </c>
      <c r="G178" s="30">
        <v>9.4236937071</v>
      </c>
    </row>
    <row r="179" spans="1:7">
      <c r="A179" s="27" t="s">
        <v>234</v>
      </c>
      <c r="B179" s="27" t="s">
        <v>235</v>
      </c>
      <c r="C179" s="28">
        <v>0</v>
      </c>
      <c r="D179" s="28">
        <v>12</v>
      </c>
      <c r="E179" s="29" t="s">
        <v>9</v>
      </c>
      <c r="F179" s="29" t="s">
        <v>12</v>
      </c>
      <c r="G179" s="30">
        <v>1.4228590000000001E-4</v>
      </c>
    </row>
    <row r="180" spans="1:7">
      <c r="A180" s="27" t="s">
        <v>234</v>
      </c>
      <c r="B180" s="27" t="s">
        <v>235</v>
      </c>
      <c r="C180" s="28">
        <v>13</v>
      </c>
      <c r="D180" s="28">
        <v>42</v>
      </c>
      <c r="E180" s="29" t="s">
        <v>10</v>
      </c>
      <c r="F180" s="29" t="s">
        <v>8</v>
      </c>
      <c r="G180" s="30">
        <v>2.4852399999999999E-5</v>
      </c>
    </row>
    <row r="181" spans="1:7" ht="30">
      <c r="A181" s="27" t="s">
        <v>234</v>
      </c>
      <c r="B181" s="27" t="s">
        <v>235</v>
      </c>
      <c r="C181" s="28">
        <v>43</v>
      </c>
      <c r="D181" s="28">
        <v>50</v>
      </c>
      <c r="E181" s="29" t="s">
        <v>130</v>
      </c>
      <c r="F181" s="29" t="s">
        <v>62</v>
      </c>
      <c r="G181" s="30">
        <v>1.4235974999999999E-3</v>
      </c>
    </row>
    <row r="182" spans="1:7" ht="30">
      <c r="A182" s="27" t="s">
        <v>234</v>
      </c>
      <c r="B182" s="27" t="s">
        <v>235</v>
      </c>
      <c r="C182" s="28">
        <v>51</v>
      </c>
      <c r="D182" s="28">
        <v>90</v>
      </c>
      <c r="E182" s="29" t="s">
        <v>78</v>
      </c>
      <c r="F182" s="29" t="s">
        <v>79</v>
      </c>
      <c r="G182" s="30">
        <v>9.4236937071</v>
      </c>
    </row>
    <row r="183" spans="1:7">
      <c r="A183" s="27" t="s">
        <v>236</v>
      </c>
      <c r="B183" s="27" t="s">
        <v>235</v>
      </c>
      <c r="C183" s="28">
        <v>0</v>
      </c>
      <c r="D183" s="28">
        <v>12</v>
      </c>
      <c r="E183" s="29" t="s">
        <v>9</v>
      </c>
      <c r="F183" s="29" t="s">
        <v>12</v>
      </c>
      <c r="G183" s="30">
        <v>1.4228590000000001E-4</v>
      </c>
    </row>
    <row r="184" spans="1:7">
      <c r="A184" s="27" t="s">
        <v>236</v>
      </c>
      <c r="B184" s="27" t="s">
        <v>235</v>
      </c>
      <c r="C184" s="28">
        <v>13</v>
      </c>
      <c r="D184" s="28">
        <v>42</v>
      </c>
      <c r="E184" s="29" t="s">
        <v>10</v>
      </c>
      <c r="F184" s="29" t="s">
        <v>8</v>
      </c>
      <c r="G184" s="30">
        <v>2.4852399999999999E-5</v>
      </c>
    </row>
    <row r="185" spans="1:7" ht="30">
      <c r="A185" s="27" t="s">
        <v>236</v>
      </c>
      <c r="B185" s="27" t="s">
        <v>235</v>
      </c>
      <c r="C185" s="28">
        <v>43</v>
      </c>
      <c r="D185" s="28">
        <v>50</v>
      </c>
      <c r="E185" s="29" t="s">
        <v>130</v>
      </c>
      <c r="F185" s="29" t="s">
        <v>62</v>
      </c>
      <c r="G185" s="30">
        <v>1.4235974999999999E-3</v>
      </c>
    </row>
    <row r="186" spans="1:7" ht="30">
      <c r="A186" s="27" t="s">
        <v>236</v>
      </c>
      <c r="B186" s="27" t="s">
        <v>235</v>
      </c>
      <c r="C186" s="28">
        <v>51</v>
      </c>
      <c r="D186" s="28">
        <v>90</v>
      </c>
      <c r="E186" s="29" t="s">
        <v>78</v>
      </c>
      <c r="F186" s="29" t="s">
        <v>79</v>
      </c>
      <c r="G186" s="30">
        <v>9.4236937071</v>
      </c>
    </row>
    <row r="187" spans="1:7">
      <c r="A187" s="27" t="s">
        <v>237</v>
      </c>
      <c r="B187" s="27" t="s">
        <v>238</v>
      </c>
      <c r="C187" s="28">
        <v>0</v>
      </c>
      <c r="D187" s="28">
        <v>90</v>
      </c>
      <c r="E187" s="29" t="s">
        <v>48</v>
      </c>
      <c r="F187" s="29" t="s">
        <v>8</v>
      </c>
      <c r="G187" s="30">
        <v>2.4852399999999999E-5</v>
      </c>
    </row>
    <row r="188" spans="1:7">
      <c r="A188" s="27" t="s">
        <v>241</v>
      </c>
      <c r="B188" s="27" t="s">
        <v>242</v>
      </c>
      <c r="C188" s="28">
        <v>0</v>
      </c>
      <c r="D188" s="28">
        <v>28</v>
      </c>
      <c r="E188" s="29" t="s">
        <v>48</v>
      </c>
      <c r="F188" s="29" t="s">
        <v>132</v>
      </c>
      <c r="G188" s="30">
        <v>1.813648E-4</v>
      </c>
    </row>
    <row r="189" spans="1:7">
      <c r="A189" s="27" t="s">
        <v>241</v>
      </c>
      <c r="B189" s="27" t="s">
        <v>242</v>
      </c>
      <c r="C189" s="28">
        <v>29</v>
      </c>
      <c r="D189" s="28">
        <v>48</v>
      </c>
      <c r="E189" s="29" t="s">
        <v>133</v>
      </c>
      <c r="F189" s="29" t="s">
        <v>8</v>
      </c>
      <c r="G189" s="30">
        <v>2.4852399999999999E-5</v>
      </c>
    </row>
    <row r="190" spans="1:7">
      <c r="A190" s="27" t="s">
        <v>241</v>
      </c>
      <c r="B190" s="27" t="s">
        <v>242</v>
      </c>
      <c r="C190" s="28">
        <v>49</v>
      </c>
      <c r="D190" s="28">
        <v>90</v>
      </c>
      <c r="E190" s="29" t="s">
        <v>14</v>
      </c>
      <c r="F190" s="29" t="s">
        <v>67</v>
      </c>
      <c r="G190" s="30">
        <v>1.367126E-3</v>
      </c>
    </row>
  </sheetData>
  <mergeCells count="1">
    <mergeCell ref="C1:D1"/>
  </mergeCells>
  <printOptions gridLines="1"/>
  <pageMargins left="0.7" right="0.7" top="0.75" bottom="0.75" header="0.3" footer="0.3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6"/>
  <sheetViews>
    <sheetView workbookViewId="0">
      <selection activeCell="C3" sqref="C3"/>
    </sheetView>
  </sheetViews>
  <sheetFormatPr defaultColWidth="10.7109375" defaultRowHeight="15"/>
  <cols>
    <col min="1" max="1" width="6.28515625" style="19" bestFit="1" customWidth="1"/>
    <col min="2" max="2" width="21.7109375" style="19" bestFit="1" customWidth="1"/>
    <col min="3" max="4" width="3" style="19" bestFit="1" customWidth="1"/>
    <col min="5" max="5" width="42.42578125" style="19" bestFit="1" customWidth="1"/>
    <col min="6" max="6" width="21.85546875" style="19" bestFit="1" customWidth="1"/>
    <col min="7" max="7" width="13.7109375" style="19" bestFit="1" customWidth="1"/>
    <col min="8" max="16384" width="10.7109375" style="19"/>
  </cols>
  <sheetData>
    <row r="1" spans="1:7" ht="30">
      <c r="A1" s="29" t="s">
        <v>168</v>
      </c>
      <c r="B1" s="29" t="s">
        <v>169</v>
      </c>
      <c r="C1" s="38">
        <v>31</v>
      </c>
      <c r="D1" s="38">
        <v>90</v>
      </c>
      <c r="E1" s="29" t="s">
        <v>68</v>
      </c>
      <c r="F1" s="29" t="s">
        <v>69</v>
      </c>
      <c r="G1" s="39">
        <v>12.518541247050003</v>
      </c>
    </row>
    <row r="2" spans="1:7" ht="30">
      <c r="A2" s="29" t="s">
        <v>170</v>
      </c>
      <c r="B2" s="29" t="s">
        <v>169</v>
      </c>
      <c r="C2" s="38">
        <v>29</v>
      </c>
      <c r="D2" s="38">
        <v>90</v>
      </c>
      <c r="E2" s="29" t="s">
        <v>70</v>
      </c>
      <c r="F2" s="29" t="s">
        <v>71</v>
      </c>
      <c r="G2" s="39">
        <v>12.5185412471</v>
      </c>
    </row>
    <row r="3" spans="1:7" ht="30">
      <c r="A3" s="29" t="s">
        <v>171</v>
      </c>
      <c r="B3" s="29" t="s">
        <v>169</v>
      </c>
      <c r="C3" s="38">
        <v>28</v>
      </c>
      <c r="D3" s="38">
        <v>90</v>
      </c>
      <c r="E3" s="29" t="s">
        <v>70</v>
      </c>
      <c r="F3" s="29" t="s">
        <v>69</v>
      </c>
      <c r="G3" s="39">
        <v>12.518541247050003</v>
      </c>
    </row>
    <row r="4" spans="1:7">
      <c r="A4" s="29" t="s">
        <v>179</v>
      </c>
      <c r="B4" s="29" t="s">
        <v>178</v>
      </c>
      <c r="C4" s="38">
        <v>18</v>
      </c>
      <c r="D4" s="38">
        <v>90</v>
      </c>
      <c r="E4" s="29" t="s">
        <v>78</v>
      </c>
      <c r="F4" s="29" t="s">
        <v>79</v>
      </c>
      <c r="G4" s="39">
        <v>9.4236937071</v>
      </c>
    </row>
    <row r="5" spans="1:7">
      <c r="A5" s="29" t="s">
        <v>180</v>
      </c>
      <c r="B5" s="29" t="s">
        <v>178</v>
      </c>
      <c r="C5" s="38">
        <v>18</v>
      </c>
      <c r="D5" s="38">
        <v>90</v>
      </c>
      <c r="E5" s="29" t="s">
        <v>78</v>
      </c>
      <c r="F5" s="29" t="s">
        <v>79</v>
      </c>
      <c r="G5" s="39">
        <v>9.4236937071</v>
      </c>
    </row>
    <row r="6" spans="1:7" ht="30">
      <c r="A6" s="29" t="s">
        <v>181</v>
      </c>
      <c r="B6" s="29" t="s">
        <v>182</v>
      </c>
      <c r="C6" s="38">
        <v>20</v>
      </c>
      <c r="D6" s="38">
        <v>90</v>
      </c>
      <c r="E6" s="29" t="s">
        <v>82</v>
      </c>
      <c r="F6" s="29" t="s">
        <v>79</v>
      </c>
      <c r="G6" s="39">
        <v>9.4236937071</v>
      </c>
    </row>
    <row r="7" spans="1:7" ht="30">
      <c r="A7" s="29" t="s">
        <v>183</v>
      </c>
      <c r="B7" s="29" t="s">
        <v>182</v>
      </c>
      <c r="C7" s="38">
        <v>17</v>
      </c>
      <c r="D7" s="38">
        <v>90</v>
      </c>
      <c r="E7" s="29" t="s">
        <v>82</v>
      </c>
      <c r="F7" s="29" t="s">
        <v>79</v>
      </c>
      <c r="G7" s="39">
        <v>9.4236937071</v>
      </c>
    </row>
    <row r="8" spans="1:7" ht="30">
      <c r="A8" s="29" t="s">
        <v>184</v>
      </c>
      <c r="B8" s="29" t="s">
        <v>185</v>
      </c>
      <c r="C8" s="38">
        <v>19</v>
      </c>
      <c r="D8" s="38">
        <v>90</v>
      </c>
      <c r="E8" s="29" t="s">
        <v>82</v>
      </c>
      <c r="F8" s="29" t="s">
        <v>79</v>
      </c>
      <c r="G8" s="39">
        <v>9.4236937071</v>
      </c>
    </row>
    <row r="9" spans="1:7" ht="30">
      <c r="A9" s="29" t="s">
        <v>186</v>
      </c>
      <c r="B9" s="29" t="s">
        <v>185</v>
      </c>
      <c r="C9" s="38">
        <v>12</v>
      </c>
      <c r="D9" s="38">
        <v>90</v>
      </c>
      <c r="E9" s="29" t="s">
        <v>82</v>
      </c>
      <c r="F9" s="29" t="s">
        <v>79</v>
      </c>
      <c r="G9" s="39">
        <v>9.4236937071</v>
      </c>
    </row>
    <row r="10" spans="1:7" ht="30">
      <c r="A10" s="29" t="s">
        <v>189</v>
      </c>
      <c r="B10" s="29" t="s">
        <v>188</v>
      </c>
      <c r="C10" s="38">
        <v>32</v>
      </c>
      <c r="D10" s="38">
        <v>90</v>
      </c>
      <c r="E10" s="29" t="s">
        <v>88</v>
      </c>
      <c r="F10" s="29" t="s">
        <v>89</v>
      </c>
      <c r="G10" s="39">
        <v>12.427424118199999</v>
      </c>
    </row>
    <row r="11" spans="1:7" ht="30">
      <c r="A11" s="29" t="s">
        <v>190</v>
      </c>
      <c r="B11" s="29" t="s">
        <v>191</v>
      </c>
      <c r="C11" s="38">
        <v>31</v>
      </c>
      <c r="D11" s="38">
        <v>90</v>
      </c>
      <c r="E11" s="29" t="s">
        <v>92</v>
      </c>
      <c r="F11" s="29" t="s">
        <v>93</v>
      </c>
      <c r="G11" s="39">
        <v>7.5394480759000002</v>
      </c>
    </row>
    <row r="12" spans="1:7" ht="30">
      <c r="A12" s="29" t="s">
        <v>195</v>
      </c>
      <c r="B12" s="29" t="s">
        <v>191</v>
      </c>
      <c r="C12" s="38">
        <v>32</v>
      </c>
      <c r="D12" s="38">
        <v>90</v>
      </c>
      <c r="E12" s="29" t="s">
        <v>94</v>
      </c>
      <c r="F12" s="29" t="s">
        <v>95</v>
      </c>
      <c r="G12" s="39">
        <v>12.495757043599999</v>
      </c>
    </row>
    <row r="13" spans="1:7" ht="30">
      <c r="A13" s="29" t="s">
        <v>194</v>
      </c>
      <c r="B13" s="29" t="s">
        <v>191</v>
      </c>
      <c r="C13" s="38">
        <v>32</v>
      </c>
      <c r="D13" s="38">
        <v>90</v>
      </c>
      <c r="E13" s="29" t="s">
        <v>94</v>
      </c>
      <c r="F13" s="29" t="s">
        <v>95</v>
      </c>
      <c r="G13" s="39">
        <v>12.495757043599999</v>
      </c>
    </row>
    <row r="14" spans="1:7">
      <c r="A14" s="29" t="s">
        <v>193</v>
      </c>
      <c r="B14" s="29" t="s">
        <v>192</v>
      </c>
      <c r="C14" s="38">
        <v>33</v>
      </c>
      <c r="D14" s="38">
        <v>90</v>
      </c>
      <c r="E14" s="29" t="s">
        <v>96</v>
      </c>
      <c r="F14" s="29" t="s">
        <v>79</v>
      </c>
      <c r="G14" s="39">
        <v>9.4236937071</v>
      </c>
    </row>
    <row r="15" spans="1:7">
      <c r="A15" s="29" t="s">
        <v>196</v>
      </c>
      <c r="B15" s="29" t="s">
        <v>197</v>
      </c>
      <c r="C15" s="38">
        <v>28</v>
      </c>
      <c r="D15" s="38">
        <v>90</v>
      </c>
      <c r="E15" s="29" t="s">
        <v>98</v>
      </c>
      <c r="F15" s="29" t="s">
        <v>79</v>
      </c>
      <c r="G15" s="39">
        <v>9.4236937071</v>
      </c>
    </row>
    <row r="16" spans="1:7">
      <c r="A16" s="36" t="s">
        <v>200</v>
      </c>
      <c r="B16" s="36" t="s">
        <v>201</v>
      </c>
      <c r="C16" s="40">
        <v>29</v>
      </c>
      <c r="D16" s="40">
        <v>90</v>
      </c>
      <c r="E16" s="36" t="s">
        <v>101</v>
      </c>
      <c r="F16" s="36" t="s">
        <v>79</v>
      </c>
      <c r="G16" s="41">
        <v>9.4236937071</v>
      </c>
    </row>
    <row r="17" spans="1:7" ht="30">
      <c r="A17" s="29" t="s">
        <v>211</v>
      </c>
      <c r="B17" s="29" t="s">
        <v>205</v>
      </c>
      <c r="C17" s="38">
        <v>28</v>
      </c>
      <c r="D17" s="38">
        <v>90</v>
      </c>
      <c r="E17" s="29" t="s">
        <v>108</v>
      </c>
      <c r="F17" s="29" t="s">
        <v>109</v>
      </c>
      <c r="G17" s="39">
        <v>1.0839709377</v>
      </c>
    </row>
    <row r="18" spans="1:7" ht="30">
      <c r="A18" s="29" t="s">
        <v>214</v>
      </c>
      <c r="B18" s="29" t="s">
        <v>215</v>
      </c>
      <c r="C18" s="38">
        <v>55</v>
      </c>
      <c r="D18" s="38">
        <v>90</v>
      </c>
      <c r="E18" s="29" t="s">
        <v>114</v>
      </c>
      <c r="F18" s="29" t="s">
        <v>79</v>
      </c>
      <c r="G18" s="39">
        <v>9.4236937071</v>
      </c>
    </row>
    <row r="19" spans="1:7">
      <c r="A19" s="29" t="s">
        <v>218</v>
      </c>
      <c r="B19" s="29" t="s">
        <v>219</v>
      </c>
      <c r="C19" s="38">
        <v>44</v>
      </c>
      <c r="D19" s="38">
        <v>90</v>
      </c>
      <c r="E19" s="29" t="s">
        <v>118</v>
      </c>
      <c r="F19" s="29" t="s">
        <v>119</v>
      </c>
      <c r="G19" s="39">
        <v>3.1428814982</v>
      </c>
    </row>
    <row r="20" spans="1:7" ht="30">
      <c r="A20" s="29" t="s">
        <v>220</v>
      </c>
      <c r="B20" s="29" t="s">
        <v>221</v>
      </c>
      <c r="C20" s="38">
        <v>39</v>
      </c>
      <c r="D20" s="38">
        <v>90</v>
      </c>
      <c r="E20" s="29" t="s">
        <v>121</v>
      </c>
      <c r="F20" s="29" t="s">
        <v>119</v>
      </c>
      <c r="G20" s="39">
        <v>3.1428814982</v>
      </c>
    </row>
    <row r="21" spans="1:7" ht="30">
      <c r="A21" s="29" t="s">
        <v>228</v>
      </c>
      <c r="B21" s="29" t="s">
        <v>229</v>
      </c>
      <c r="C21" s="38">
        <v>47</v>
      </c>
      <c r="D21" s="38">
        <v>90</v>
      </c>
      <c r="E21" s="29" t="s">
        <v>70</v>
      </c>
      <c r="F21" s="29" t="s">
        <v>119</v>
      </c>
      <c r="G21" s="39">
        <v>3.1428814982</v>
      </c>
    </row>
    <row r="22" spans="1:7" ht="30">
      <c r="A22" s="29" t="s">
        <v>230</v>
      </c>
      <c r="B22" s="29" t="s">
        <v>231</v>
      </c>
      <c r="C22" s="38">
        <v>45</v>
      </c>
      <c r="D22" s="38">
        <v>90</v>
      </c>
      <c r="E22" s="29" t="s">
        <v>82</v>
      </c>
      <c r="F22" s="29" t="s">
        <v>79</v>
      </c>
      <c r="G22" s="39">
        <v>9.4236937071</v>
      </c>
    </row>
    <row r="23" spans="1:7" ht="30">
      <c r="A23" s="29" t="s">
        <v>233</v>
      </c>
      <c r="B23" s="29" t="s">
        <v>231</v>
      </c>
      <c r="C23" s="38">
        <v>45</v>
      </c>
      <c r="D23" s="38">
        <v>90</v>
      </c>
      <c r="E23" s="29" t="s">
        <v>82</v>
      </c>
      <c r="F23" s="29" t="s">
        <v>129</v>
      </c>
      <c r="G23" s="39">
        <v>9.4236937071</v>
      </c>
    </row>
    <row r="24" spans="1:7" ht="30">
      <c r="A24" s="29" t="s">
        <v>232</v>
      </c>
      <c r="B24" s="29" t="s">
        <v>231</v>
      </c>
      <c r="C24" s="38">
        <v>45</v>
      </c>
      <c r="D24" s="38">
        <v>90</v>
      </c>
      <c r="E24" s="29" t="s">
        <v>82</v>
      </c>
      <c r="F24" s="29" t="s">
        <v>79</v>
      </c>
      <c r="G24" s="39">
        <v>9.4236937071</v>
      </c>
    </row>
    <row r="25" spans="1:7">
      <c r="A25" s="29" t="s">
        <v>234</v>
      </c>
      <c r="B25" s="29" t="s">
        <v>235</v>
      </c>
      <c r="C25" s="38">
        <v>51</v>
      </c>
      <c r="D25" s="38">
        <v>90</v>
      </c>
      <c r="E25" s="29" t="s">
        <v>78</v>
      </c>
      <c r="F25" s="29" t="s">
        <v>79</v>
      </c>
      <c r="G25" s="39">
        <v>9.4236937071</v>
      </c>
    </row>
    <row r="26" spans="1:7">
      <c r="A26" s="29" t="s">
        <v>236</v>
      </c>
      <c r="B26" s="29" t="s">
        <v>235</v>
      </c>
      <c r="C26" s="38">
        <v>51</v>
      </c>
      <c r="D26" s="38">
        <v>90</v>
      </c>
      <c r="E26" s="29" t="s">
        <v>78</v>
      </c>
      <c r="F26" s="29" t="s">
        <v>79</v>
      </c>
      <c r="G26" s="39">
        <v>9.4236937071</v>
      </c>
    </row>
  </sheetData>
  <printOptions gridLines="1"/>
  <pageMargins left="0.7" right="0.7" top="0.75" bottom="0.75" header="0.3" footer="0.3"/>
  <pageSetup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67"/>
  <sheetViews>
    <sheetView workbookViewId="0">
      <selection activeCell="L16" sqref="L16"/>
    </sheetView>
  </sheetViews>
  <sheetFormatPr defaultRowHeight="15"/>
  <cols>
    <col min="1" max="1" width="3" bestFit="1" customWidth="1"/>
    <col min="2" max="2" width="7.5703125" bestFit="1" customWidth="1"/>
    <col min="3" max="3" width="23" bestFit="1" customWidth="1"/>
    <col min="9" max="9" width="13.5703125" style="58" customWidth="1"/>
    <col min="10" max="10" width="9.140625" style="58" customWidth="1"/>
  </cols>
  <sheetData>
    <row r="1" spans="1:9" s="19" customFormat="1" ht="30" customHeight="1">
      <c r="D1" s="202" t="s">
        <v>251</v>
      </c>
      <c r="E1" s="202"/>
      <c r="F1" s="62" t="s">
        <v>253</v>
      </c>
      <c r="G1" s="63"/>
      <c r="H1" s="63"/>
    </row>
    <row r="2" spans="1:9">
      <c r="D2" s="201" t="s">
        <v>279</v>
      </c>
      <c r="E2" s="201"/>
      <c r="F2" s="64">
        <v>39</v>
      </c>
      <c r="G2" s="65"/>
      <c r="H2" s="65"/>
    </row>
    <row r="3" spans="1:9">
      <c r="D3" s="201" t="s">
        <v>246</v>
      </c>
      <c r="E3" s="201"/>
      <c r="F3" s="66">
        <v>61</v>
      </c>
    </row>
    <row r="4" spans="1:9">
      <c r="D4" s="201" t="s">
        <v>247</v>
      </c>
      <c r="E4" s="201"/>
      <c r="F4" s="66">
        <v>74</v>
      </c>
    </row>
    <row r="5" spans="1:9">
      <c r="D5" s="201" t="s">
        <v>280</v>
      </c>
      <c r="E5" s="201"/>
      <c r="F5" s="66">
        <v>80</v>
      </c>
    </row>
    <row r="6" spans="1:9">
      <c r="A6" s="16"/>
      <c r="B6" s="200" t="s">
        <v>145</v>
      </c>
      <c r="C6" s="200" t="s">
        <v>144</v>
      </c>
      <c r="D6" s="50"/>
      <c r="E6" s="50"/>
      <c r="F6" s="65"/>
      <c r="G6" s="65"/>
      <c r="H6" s="65"/>
    </row>
    <row r="7" spans="1:9" ht="15" customHeight="1">
      <c r="A7" s="16"/>
      <c r="B7" s="200"/>
      <c r="C7" s="200"/>
      <c r="D7" s="201" t="s">
        <v>251</v>
      </c>
      <c r="E7" s="201"/>
      <c r="F7" s="201" t="s">
        <v>253</v>
      </c>
      <c r="G7" s="201"/>
      <c r="H7" s="66" t="s">
        <v>281</v>
      </c>
      <c r="I7" s="65"/>
    </row>
    <row r="8" spans="1:9" ht="15.75">
      <c r="A8" s="16">
        <v>1</v>
      </c>
      <c r="B8" s="17" t="s">
        <v>136</v>
      </c>
      <c r="C8" s="17" t="s">
        <v>137</v>
      </c>
      <c r="D8" s="67" t="s">
        <v>246</v>
      </c>
      <c r="E8" s="67" t="s">
        <v>280</v>
      </c>
      <c r="F8" s="67">
        <f>VLOOKUP(D8,D$2:F$5,3)</f>
        <v>61</v>
      </c>
      <c r="G8" s="67">
        <f>VLOOKUP(E8,D$2:F$5,3)</f>
        <v>80</v>
      </c>
      <c r="H8" s="67">
        <f>AVERAGEIF(F8:G8,"&gt;0")</f>
        <v>70.5</v>
      </c>
    </row>
    <row r="9" spans="1:9" ht="15.75">
      <c r="A9" s="16">
        <v>2</v>
      </c>
      <c r="B9" s="17" t="s">
        <v>138</v>
      </c>
      <c r="C9" s="17" t="s">
        <v>139</v>
      </c>
      <c r="D9" s="67" t="s">
        <v>279</v>
      </c>
      <c r="E9" s="67" t="s">
        <v>280</v>
      </c>
      <c r="F9" s="67">
        <f t="shared" ref="F9:F67" si="0">VLOOKUP(D9,D$2:F$5,3)</f>
        <v>39</v>
      </c>
      <c r="G9" s="67">
        <f t="shared" ref="G9:G67" si="1">VLOOKUP(E9,D$2:F$5,3)</f>
        <v>80</v>
      </c>
      <c r="H9" s="67">
        <f t="shared" ref="H9:H67" si="2">AVERAGEIF(F9:G9,"&gt;0")</f>
        <v>59.5</v>
      </c>
    </row>
    <row r="10" spans="1:9" ht="15.75">
      <c r="A10" s="16">
        <v>3</v>
      </c>
      <c r="B10" s="17" t="s">
        <v>140</v>
      </c>
      <c r="C10" s="17" t="s">
        <v>141</v>
      </c>
      <c r="D10" s="67" t="s">
        <v>246</v>
      </c>
      <c r="E10" s="67" t="s">
        <v>280</v>
      </c>
      <c r="F10" s="67">
        <f t="shared" si="0"/>
        <v>61</v>
      </c>
      <c r="G10" s="67">
        <f t="shared" si="1"/>
        <v>80</v>
      </c>
      <c r="H10" s="67">
        <f t="shared" si="2"/>
        <v>70.5</v>
      </c>
    </row>
    <row r="11" spans="1:9" ht="15.75">
      <c r="A11" s="16">
        <v>4</v>
      </c>
      <c r="B11" s="17" t="s">
        <v>239</v>
      </c>
      <c r="C11" s="17" t="s">
        <v>161</v>
      </c>
      <c r="D11" s="67" t="s">
        <v>279</v>
      </c>
      <c r="E11" s="67" t="s">
        <v>280</v>
      </c>
      <c r="F11" s="67">
        <f t="shared" si="0"/>
        <v>39</v>
      </c>
      <c r="G11" s="67">
        <f t="shared" si="1"/>
        <v>80</v>
      </c>
      <c r="H11" s="67">
        <f t="shared" si="2"/>
        <v>59.5</v>
      </c>
    </row>
    <row r="12" spans="1:9" ht="15.75">
      <c r="A12" s="16">
        <v>5</v>
      </c>
      <c r="B12" s="17" t="s">
        <v>240</v>
      </c>
      <c r="C12" s="17" t="s">
        <v>199</v>
      </c>
      <c r="D12" s="67" t="s">
        <v>247</v>
      </c>
      <c r="E12" s="67" t="s">
        <v>280</v>
      </c>
      <c r="F12" s="67">
        <f t="shared" si="0"/>
        <v>74</v>
      </c>
      <c r="G12" s="67">
        <f t="shared" si="1"/>
        <v>80</v>
      </c>
      <c r="H12" s="67">
        <f t="shared" si="2"/>
        <v>77</v>
      </c>
    </row>
    <row r="13" spans="1:9" ht="15.75">
      <c r="A13" s="16">
        <v>6</v>
      </c>
      <c r="B13" s="17" t="s">
        <v>142</v>
      </c>
      <c r="C13" s="17" t="s">
        <v>143</v>
      </c>
      <c r="D13" s="67" t="s">
        <v>246</v>
      </c>
      <c r="E13" s="67"/>
      <c r="F13" s="67">
        <f t="shared" si="0"/>
        <v>61</v>
      </c>
      <c r="G13" s="67" t="e">
        <f t="shared" si="1"/>
        <v>#N/A</v>
      </c>
      <c r="H13" s="67">
        <f t="shared" si="2"/>
        <v>61</v>
      </c>
    </row>
    <row r="14" spans="1:9" ht="15.75">
      <c r="A14" s="16">
        <v>7</v>
      </c>
      <c r="B14" s="17" t="s">
        <v>146</v>
      </c>
      <c r="C14" s="17" t="s">
        <v>147</v>
      </c>
      <c r="D14" s="67" t="s">
        <v>247</v>
      </c>
      <c r="E14" s="67" t="s">
        <v>280</v>
      </c>
      <c r="F14" s="67">
        <f t="shared" si="0"/>
        <v>74</v>
      </c>
      <c r="G14" s="67">
        <f t="shared" si="1"/>
        <v>80</v>
      </c>
      <c r="H14" s="67">
        <f t="shared" si="2"/>
        <v>77</v>
      </c>
    </row>
    <row r="15" spans="1:9" ht="15.75">
      <c r="A15" s="16">
        <v>8</v>
      </c>
      <c r="B15" s="17" t="s">
        <v>148</v>
      </c>
      <c r="C15" s="17" t="s">
        <v>149</v>
      </c>
      <c r="D15" s="67" t="s">
        <v>246</v>
      </c>
      <c r="E15" s="67" t="s">
        <v>280</v>
      </c>
      <c r="F15" s="67">
        <f t="shared" si="0"/>
        <v>61</v>
      </c>
      <c r="G15" s="67">
        <f t="shared" si="1"/>
        <v>80</v>
      </c>
      <c r="H15" s="67">
        <f t="shared" si="2"/>
        <v>70.5</v>
      </c>
    </row>
    <row r="16" spans="1:9" ht="15.75">
      <c r="A16" s="16">
        <v>9</v>
      </c>
      <c r="B16" s="17" t="s">
        <v>150</v>
      </c>
      <c r="C16" s="17" t="s">
        <v>151</v>
      </c>
      <c r="D16" s="67" t="s">
        <v>247</v>
      </c>
      <c r="E16" s="67" t="s">
        <v>280</v>
      </c>
      <c r="F16" s="67">
        <f t="shared" si="0"/>
        <v>74</v>
      </c>
      <c r="G16" s="67">
        <f t="shared" si="1"/>
        <v>80</v>
      </c>
      <c r="H16" s="67">
        <f t="shared" si="2"/>
        <v>77</v>
      </c>
    </row>
    <row r="17" spans="1:8" ht="15.75">
      <c r="A17" s="16">
        <v>10</v>
      </c>
      <c r="B17" s="17" t="s">
        <v>152</v>
      </c>
      <c r="C17" s="17" t="s">
        <v>153</v>
      </c>
      <c r="D17" s="67" t="s">
        <v>246</v>
      </c>
      <c r="E17" s="67" t="s">
        <v>280</v>
      </c>
      <c r="F17" s="67">
        <f t="shared" si="0"/>
        <v>61</v>
      </c>
      <c r="G17" s="67">
        <f t="shared" si="1"/>
        <v>80</v>
      </c>
      <c r="H17" s="67">
        <f t="shared" si="2"/>
        <v>70.5</v>
      </c>
    </row>
    <row r="18" spans="1:8" ht="15.75">
      <c r="A18" s="16">
        <v>11</v>
      </c>
      <c r="B18" s="17" t="s">
        <v>155</v>
      </c>
      <c r="C18" s="17" t="s">
        <v>154</v>
      </c>
      <c r="D18" s="67" t="s">
        <v>246</v>
      </c>
      <c r="E18" s="67"/>
      <c r="F18" s="67">
        <f t="shared" si="0"/>
        <v>61</v>
      </c>
      <c r="G18" s="67" t="e">
        <f t="shared" si="1"/>
        <v>#N/A</v>
      </c>
      <c r="H18" s="67">
        <f t="shared" si="2"/>
        <v>61</v>
      </c>
    </row>
    <row r="19" spans="1:8" ht="15.75">
      <c r="A19" s="16">
        <v>12</v>
      </c>
      <c r="B19" s="17" t="s">
        <v>157</v>
      </c>
      <c r="C19" s="17" t="s">
        <v>156</v>
      </c>
      <c r="D19" s="67" t="s">
        <v>247</v>
      </c>
      <c r="E19" s="67"/>
      <c r="F19" s="67">
        <f t="shared" si="0"/>
        <v>74</v>
      </c>
      <c r="G19" s="67" t="e">
        <f t="shared" si="1"/>
        <v>#N/A</v>
      </c>
      <c r="H19" s="67">
        <f t="shared" si="2"/>
        <v>74</v>
      </c>
    </row>
    <row r="20" spans="1:8" ht="15.75">
      <c r="A20" s="16">
        <v>13</v>
      </c>
      <c r="B20" s="17" t="s">
        <v>158</v>
      </c>
      <c r="C20" s="17" t="s">
        <v>159</v>
      </c>
      <c r="D20" s="67" t="s">
        <v>247</v>
      </c>
      <c r="E20" s="67" t="s">
        <v>280</v>
      </c>
      <c r="F20" s="67">
        <f t="shared" si="0"/>
        <v>74</v>
      </c>
      <c r="G20" s="67">
        <f t="shared" si="1"/>
        <v>80</v>
      </c>
      <c r="H20" s="67">
        <f t="shared" si="2"/>
        <v>77</v>
      </c>
    </row>
    <row r="21" spans="1:8" ht="15.75">
      <c r="A21" s="16">
        <v>14</v>
      </c>
      <c r="B21" s="17" t="s">
        <v>160</v>
      </c>
      <c r="C21" s="17" t="s">
        <v>161</v>
      </c>
      <c r="D21" s="67" t="s">
        <v>279</v>
      </c>
      <c r="E21" s="67" t="s">
        <v>280</v>
      </c>
      <c r="F21" s="67">
        <f t="shared" si="0"/>
        <v>39</v>
      </c>
      <c r="G21" s="67">
        <f t="shared" si="1"/>
        <v>80</v>
      </c>
      <c r="H21" s="67">
        <f t="shared" si="2"/>
        <v>59.5</v>
      </c>
    </row>
    <row r="22" spans="1:8" ht="15.75">
      <c r="A22" s="16">
        <v>15</v>
      </c>
      <c r="B22" s="17" t="s">
        <v>162</v>
      </c>
      <c r="C22" s="17" t="s">
        <v>163</v>
      </c>
      <c r="D22" s="67" t="s">
        <v>247</v>
      </c>
      <c r="E22" s="67" t="s">
        <v>280</v>
      </c>
      <c r="F22" s="67">
        <f t="shared" si="0"/>
        <v>74</v>
      </c>
      <c r="G22" s="67">
        <f t="shared" si="1"/>
        <v>80</v>
      </c>
      <c r="H22" s="67">
        <f t="shared" si="2"/>
        <v>77</v>
      </c>
    </row>
    <row r="23" spans="1:8" ht="15.75">
      <c r="A23" s="16">
        <v>16</v>
      </c>
      <c r="B23" s="17" t="s">
        <v>164</v>
      </c>
      <c r="C23" s="17" t="s">
        <v>165</v>
      </c>
      <c r="D23" s="67" t="s">
        <v>247</v>
      </c>
      <c r="E23" s="67"/>
      <c r="F23" s="67">
        <f t="shared" si="0"/>
        <v>74</v>
      </c>
      <c r="G23" s="67" t="e">
        <f t="shared" si="1"/>
        <v>#N/A</v>
      </c>
      <c r="H23" s="67">
        <f t="shared" si="2"/>
        <v>74</v>
      </c>
    </row>
    <row r="24" spans="1:8" ht="15.75">
      <c r="A24" s="16">
        <v>17</v>
      </c>
      <c r="B24" s="17" t="s">
        <v>166</v>
      </c>
      <c r="C24" s="17" t="s">
        <v>167</v>
      </c>
      <c r="D24" s="67" t="s">
        <v>247</v>
      </c>
      <c r="E24" s="67" t="s">
        <v>280</v>
      </c>
      <c r="F24" s="67">
        <f t="shared" si="0"/>
        <v>74</v>
      </c>
      <c r="G24" s="67">
        <f t="shared" si="1"/>
        <v>80</v>
      </c>
      <c r="H24" s="67">
        <f t="shared" si="2"/>
        <v>77</v>
      </c>
    </row>
    <row r="25" spans="1:8" ht="15.75">
      <c r="A25" s="16">
        <v>18</v>
      </c>
      <c r="B25" s="17" t="s">
        <v>168</v>
      </c>
      <c r="C25" s="17" t="s">
        <v>169</v>
      </c>
      <c r="D25" s="67" t="s">
        <v>246</v>
      </c>
      <c r="E25" s="67"/>
      <c r="F25" s="67">
        <f t="shared" si="0"/>
        <v>61</v>
      </c>
      <c r="G25" s="67" t="e">
        <f t="shared" si="1"/>
        <v>#N/A</v>
      </c>
      <c r="H25" s="67">
        <f t="shared" si="2"/>
        <v>61</v>
      </c>
    </row>
    <row r="26" spans="1:8" ht="15.75">
      <c r="A26" s="16">
        <v>19</v>
      </c>
      <c r="B26" s="17" t="s">
        <v>170</v>
      </c>
      <c r="C26" s="17" t="s">
        <v>169</v>
      </c>
      <c r="D26" s="67" t="s">
        <v>246</v>
      </c>
      <c r="E26" s="67"/>
      <c r="F26" s="67">
        <f t="shared" si="0"/>
        <v>61</v>
      </c>
      <c r="G26" s="67" t="e">
        <f t="shared" si="1"/>
        <v>#N/A</v>
      </c>
      <c r="H26" s="67">
        <f t="shared" si="2"/>
        <v>61</v>
      </c>
    </row>
    <row r="27" spans="1:8" ht="15.75">
      <c r="A27" s="16">
        <v>20</v>
      </c>
      <c r="B27" s="17" t="s">
        <v>171</v>
      </c>
      <c r="C27" s="17" t="s">
        <v>169</v>
      </c>
      <c r="D27" s="67" t="s">
        <v>246</v>
      </c>
      <c r="E27" s="67"/>
      <c r="F27" s="67">
        <f t="shared" si="0"/>
        <v>61</v>
      </c>
      <c r="G27" s="67" t="e">
        <f t="shared" si="1"/>
        <v>#N/A</v>
      </c>
      <c r="H27" s="67">
        <f t="shared" si="2"/>
        <v>61</v>
      </c>
    </row>
    <row r="28" spans="1:8" ht="15.75">
      <c r="A28" s="16">
        <v>21</v>
      </c>
      <c r="B28" s="17" t="s">
        <v>173</v>
      </c>
      <c r="C28" s="17" t="s">
        <v>172</v>
      </c>
      <c r="D28" s="67" t="s">
        <v>246</v>
      </c>
      <c r="E28" s="67"/>
      <c r="F28" s="67">
        <f t="shared" si="0"/>
        <v>61</v>
      </c>
      <c r="G28" s="67" t="e">
        <f t="shared" si="1"/>
        <v>#N/A</v>
      </c>
      <c r="H28" s="67">
        <f t="shared" si="2"/>
        <v>61</v>
      </c>
    </row>
    <row r="29" spans="1:8" ht="15.75">
      <c r="A29" s="16">
        <v>22</v>
      </c>
      <c r="B29" s="17" t="s">
        <v>174</v>
      </c>
      <c r="C29" s="17" t="s">
        <v>175</v>
      </c>
      <c r="D29" s="67" t="s">
        <v>247</v>
      </c>
      <c r="E29" s="67" t="s">
        <v>280</v>
      </c>
      <c r="F29" s="67">
        <f t="shared" si="0"/>
        <v>74</v>
      </c>
      <c r="G29" s="67">
        <f t="shared" si="1"/>
        <v>80</v>
      </c>
      <c r="H29" s="67">
        <f t="shared" si="2"/>
        <v>77</v>
      </c>
    </row>
    <row r="30" spans="1:8" ht="15.75">
      <c r="A30" s="16">
        <v>23</v>
      </c>
      <c r="B30" s="17" t="s">
        <v>176</v>
      </c>
      <c r="C30" s="17" t="s">
        <v>177</v>
      </c>
      <c r="D30" s="67" t="s">
        <v>246</v>
      </c>
      <c r="E30" s="67"/>
      <c r="F30" s="67">
        <f t="shared" si="0"/>
        <v>61</v>
      </c>
      <c r="G30" s="67" t="e">
        <f t="shared" si="1"/>
        <v>#N/A</v>
      </c>
      <c r="H30" s="67">
        <f t="shared" si="2"/>
        <v>61</v>
      </c>
    </row>
    <row r="31" spans="1:8" ht="15.75">
      <c r="A31" s="16">
        <v>24</v>
      </c>
      <c r="B31" s="17" t="s">
        <v>179</v>
      </c>
      <c r="C31" s="17" t="s">
        <v>178</v>
      </c>
      <c r="D31" s="67" t="s">
        <v>246</v>
      </c>
      <c r="E31" s="67"/>
      <c r="F31" s="67">
        <f t="shared" si="0"/>
        <v>61</v>
      </c>
      <c r="G31" s="67" t="e">
        <f t="shared" si="1"/>
        <v>#N/A</v>
      </c>
      <c r="H31" s="67">
        <f t="shared" si="2"/>
        <v>61</v>
      </c>
    </row>
    <row r="32" spans="1:8" ht="15.75">
      <c r="A32" s="16">
        <v>25</v>
      </c>
      <c r="B32" s="17" t="s">
        <v>181</v>
      </c>
      <c r="C32" s="17" t="s">
        <v>182</v>
      </c>
      <c r="D32" s="67" t="s">
        <v>246</v>
      </c>
      <c r="E32" s="67"/>
      <c r="F32" s="67">
        <f t="shared" si="0"/>
        <v>61</v>
      </c>
      <c r="G32" s="67" t="e">
        <f t="shared" si="1"/>
        <v>#N/A</v>
      </c>
      <c r="H32" s="67">
        <f t="shared" si="2"/>
        <v>61</v>
      </c>
    </row>
    <row r="33" spans="1:8" ht="15.75">
      <c r="A33" s="16">
        <v>26</v>
      </c>
      <c r="B33" s="17" t="s">
        <v>184</v>
      </c>
      <c r="C33" s="17" t="s">
        <v>185</v>
      </c>
      <c r="D33" s="67" t="s">
        <v>246</v>
      </c>
      <c r="E33" s="67"/>
      <c r="F33" s="67">
        <f t="shared" si="0"/>
        <v>61</v>
      </c>
      <c r="G33" s="67" t="e">
        <f t="shared" si="1"/>
        <v>#N/A</v>
      </c>
      <c r="H33" s="67">
        <f t="shared" si="2"/>
        <v>61</v>
      </c>
    </row>
    <row r="34" spans="1:8" ht="15.75">
      <c r="A34" s="16">
        <v>27</v>
      </c>
      <c r="B34" s="17" t="s">
        <v>186</v>
      </c>
      <c r="C34" s="17" t="s">
        <v>185</v>
      </c>
      <c r="D34" s="67" t="s">
        <v>246</v>
      </c>
      <c r="E34" s="67"/>
      <c r="F34" s="67">
        <f t="shared" si="0"/>
        <v>61</v>
      </c>
      <c r="G34" s="67" t="e">
        <f t="shared" si="1"/>
        <v>#N/A</v>
      </c>
      <c r="H34" s="67">
        <f t="shared" si="2"/>
        <v>61</v>
      </c>
    </row>
    <row r="35" spans="1:8" ht="15.75">
      <c r="A35" s="16">
        <v>28</v>
      </c>
      <c r="B35" s="17" t="s">
        <v>187</v>
      </c>
      <c r="C35" s="17" t="s">
        <v>188</v>
      </c>
      <c r="D35" s="67" t="s">
        <v>246</v>
      </c>
      <c r="E35" s="67"/>
      <c r="F35" s="67">
        <f t="shared" si="0"/>
        <v>61</v>
      </c>
      <c r="G35" s="67" t="e">
        <f t="shared" si="1"/>
        <v>#N/A</v>
      </c>
      <c r="H35" s="67">
        <f t="shared" si="2"/>
        <v>61</v>
      </c>
    </row>
    <row r="36" spans="1:8" ht="15.75">
      <c r="A36" s="16">
        <v>29</v>
      </c>
      <c r="B36" s="17" t="s">
        <v>189</v>
      </c>
      <c r="C36" s="17" t="s">
        <v>188</v>
      </c>
      <c r="D36" s="67" t="s">
        <v>246</v>
      </c>
      <c r="E36" s="67"/>
      <c r="F36" s="67">
        <f t="shared" si="0"/>
        <v>61</v>
      </c>
      <c r="G36" s="67" t="e">
        <f t="shared" si="1"/>
        <v>#N/A</v>
      </c>
      <c r="H36" s="67">
        <f t="shared" si="2"/>
        <v>61</v>
      </c>
    </row>
    <row r="37" spans="1:8" ht="15.75">
      <c r="A37" s="16">
        <v>30</v>
      </c>
      <c r="B37" s="17" t="s">
        <v>190</v>
      </c>
      <c r="C37" s="17" t="s">
        <v>191</v>
      </c>
      <c r="D37" s="67" t="s">
        <v>246</v>
      </c>
      <c r="E37" s="67"/>
      <c r="F37" s="67">
        <f t="shared" si="0"/>
        <v>61</v>
      </c>
      <c r="G37" s="67" t="e">
        <f t="shared" si="1"/>
        <v>#N/A</v>
      </c>
      <c r="H37" s="67">
        <f t="shared" si="2"/>
        <v>61</v>
      </c>
    </row>
    <row r="38" spans="1:8" ht="15.75">
      <c r="A38" s="16">
        <v>31</v>
      </c>
      <c r="B38" s="17" t="s">
        <v>195</v>
      </c>
      <c r="C38" s="17" t="s">
        <v>191</v>
      </c>
      <c r="D38" s="67" t="s">
        <v>246</v>
      </c>
      <c r="E38" s="67"/>
      <c r="F38" s="67">
        <f t="shared" si="0"/>
        <v>61</v>
      </c>
      <c r="G38" s="67" t="e">
        <f t="shared" si="1"/>
        <v>#N/A</v>
      </c>
      <c r="H38" s="67">
        <f t="shared" si="2"/>
        <v>61</v>
      </c>
    </row>
    <row r="39" spans="1:8" ht="15.75">
      <c r="A39" s="16">
        <v>32</v>
      </c>
      <c r="B39" s="17" t="s">
        <v>194</v>
      </c>
      <c r="C39" s="17" t="s">
        <v>191</v>
      </c>
      <c r="D39" s="67" t="s">
        <v>246</v>
      </c>
      <c r="E39" s="67"/>
      <c r="F39" s="67">
        <f t="shared" si="0"/>
        <v>61</v>
      </c>
      <c r="G39" s="67" t="e">
        <f t="shared" si="1"/>
        <v>#N/A</v>
      </c>
      <c r="H39" s="67">
        <f t="shared" si="2"/>
        <v>61</v>
      </c>
    </row>
    <row r="40" spans="1:8" ht="15.75">
      <c r="A40" s="16">
        <v>33</v>
      </c>
      <c r="B40" s="17" t="s">
        <v>193</v>
      </c>
      <c r="C40" s="17" t="s">
        <v>192</v>
      </c>
      <c r="D40" s="67" t="s">
        <v>246</v>
      </c>
      <c r="E40" s="67"/>
      <c r="F40" s="67">
        <f t="shared" si="0"/>
        <v>61</v>
      </c>
      <c r="G40" s="67" t="e">
        <f t="shared" si="1"/>
        <v>#N/A</v>
      </c>
      <c r="H40" s="67">
        <f t="shared" si="2"/>
        <v>61</v>
      </c>
    </row>
    <row r="41" spans="1:8" ht="15.75">
      <c r="A41" s="16">
        <v>34</v>
      </c>
      <c r="B41" s="17" t="s">
        <v>196</v>
      </c>
      <c r="C41" s="17" t="s">
        <v>197</v>
      </c>
      <c r="D41" s="67" t="s">
        <v>246</v>
      </c>
      <c r="E41" s="67" t="s">
        <v>280</v>
      </c>
      <c r="F41" s="67">
        <f t="shared" si="0"/>
        <v>61</v>
      </c>
      <c r="G41" s="67">
        <f t="shared" si="1"/>
        <v>80</v>
      </c>
      <c r="H41" s="67">
        <f t="shared" si="2"/>
        <v>70.5</v>
      </c>
    </row>
    <row r="42" spans="1:8" ht="15.75">
      <c r="A42" s="16">
        <v>35</v>
      </c>
      <c r="B42" s="17" t="s">
        <v>198</v>
      </c>
      <c r="C42" s="17" t="s">
        <v>199</v>
      </c>
      <c r="D42" s="67" t="s">
        <v>247</v>
      </c>
      <c r="E42" s="67" t="s">
        <v>280</v>
      </c>
      <c r="F42" s="67">
        <f t="shared" si="0"/>
        <v>74</v>
      </c>
      <c r="G42" s="67">
        <f t="shared" si="1"/>
        <v>80</v>
      </c>
      <c r="H42" s="67">
        <f t="shared" si="2"/>
        <v>77</v>
      </c>
    </row>
    <row r="43" spans="1:8" ht="15.75">
      <c r="A43" s="16">
        <v>36</v>
      </c>
      <c r="B43" s="17" t="s">
        <v>200</v>
      </c>
      <c r="C43" s="17" t="s">
        <v>201</v>
      </c>
      <c r="D43" s="67" t="s">
        <v>246</v>
      </c>
      <c r="E43" s="67" t="s">
        <v>280</v>
      </c>
      <c r="F43" s="67">
        <f t="shared" si="0"/>
        <v>61</v>
      </c>
      <c r="G43" s="67">
        <f t="shared" si="1"/>
        <v>80</v>
      </c>
      <c r="H43" s="67">
        <f t="shared" si="2"/>
        <v>70.5</v>
      </c>
    </row>
    <row r="44" spans="1:8" ht="15.75">
      <c r="A44" s="16">
        <v>37</v>
      </c>
      <c r="B44" s="17" t="s">
        <v>202</v>
      </c>
      <c r="C44" s="17" t="s">
        <v>203</v>
      </c>
      <c r="D44" s="67" t="s">
        <v>246</v>
      </c>
      <c r="E44" s="67"/>
      <c r="F44" s="67">
        <f t="shared" si="0"/>
        <v>61</v>
      </c>
      <c r="G44" s="67" t="e">
        <f t="shared" si="1"/>
        <v>#N/A</v>
      </c>
      <c r="H44" s="67">
        <f t="shared" si="2"/>
        <v>61</v>
      </c>
    </row>
    <row r="45" spans="1:8" ht="15.75">
      <c r="A45" s="16">
        <v>38</v>
      </c>
      <c r="B45" s="17" t="s">
        <v>204</v>
      </c>
      <c r="C45" s="17" t="s">
        <v>205</v>
      </c>
      <c r="D45" s="67" t="s">
        <v>246</v>
      </c>
      <c r="E45" s="67"/>
      <c r="F45" s="67">
        <f t="shared" si="0"/>
        <v>61</v>
      </c>
      <c r="G45" s="67" t="e">
        <f t="shared" si="1"/>
        <v>#N/A</v>
      </c>
      <c r="H45" s="67">
        <f t="shared" si="2"/>
        <v>61</v>
      </c>
    </row>
    <row r="46" spans="1:8" ht="15.75">
      <c r="A46" s="16">
        <v>39</v>
      </c>
      <c r="B46" s="17" t="s">
        <v>211</v>
      </c>
      <c r="C46" s="17" t="s">
        <v>205</v>
      </c>
      <c r="D46" s="67" t="s">
        <v>246</v>
      </c>
      <c r="E46" s="67"/>
      <c r="F46" s="67">
        <f t="shared" si="0"/>
        <v>61</v>
      </c>
      <c r="G46" s="67" t="e">
        <f t="shared" si="1"/>
        <v>#N/A</v>
      </c>
      <c r="H46" s="67">
        <f t="shared" si="2"/>
        <v>61</v>
      </c>
    </row>
    <row r="47" spans="1:8" ht="15.75">
      <c r="A47" s="16">
        <v>40</v>
      </c>
      <c r="B47" s="17" t="s">
        <v>210</v>
      </c>
      <c r="C47" s="17" t="s">
        <v>205</v>
      </c>
      <c r="D47" s="67" t="s">
        <v>246</v>
      </c>
      <c r="E47" s="67"/>
      <c r="F47" s="67">
        <f t="shared" si="0"/>
        <v>61</v>
      </c>
      <c r="G47" s="67" t="e">
        <f t="shared" si="1"/>
        <v>#N/A</v>
      </c>
      <c r="H47" s="67">
        <f t="shared" si="2"/>
        <v>61</v>
      </c>
    </row>
    <row r="48" spans="1:8" ht="15.75">
      <c r="A48" s="16">
        <v>41</v>
      </c>
      <c r="B48" s="17" t="s">
        <v>209</v>
      </c>
      <c r="C48" s="17" t="s">
        <v>206</v>
      </c>
      <c r="D48" s="67" t="s">
        <v>246</v>
      </c>
      <c r="E48" s="67"/>
      <c r="F48" s="67">
        <f t="shared" si="0"/>
        <v>61</v>
      </c>
      <c r="G48" s="67" t="e">
        <f t="shared" si="1"/>
        <v>#N/A</v>
      </c>
      <c r="H48" s="67">
        <f t="shared" si="2"/>
        <v>61</v>
      </c>
    </row>
    <row r="49" spans="1:8" ht="15.75">
      <c r="A49" s="16">
        <v>42</v>
      </c>
      <c r="B49" s="17" t="s">
        <v>208</v>
      </c>
      <c r="C49" s="17" t="s">
        <v>205</v>
      </c>
      <c r="D49" s="67" t="s">
        <v>246</v>
      </c>
      <c r="E49" s="67"/>
      <c r="F49" s="67">
        <f t="shared" si="0"/>
        <v>61</v>
      </c>
      <c r="G49" s="67" t="e">
        <f t="shared" si="1"/>
        <v>#N/A</v>
      </c>
      <c r="H49" s="67">
        <f t="shared" si="2"/>
        <v>61</v>
      </c>
    </row>
    <row r="50" spans="1:8" ht="15.75">
      <c r="A50" s="16">
        <v>43</v>
      </c>
      <c r="B50" s="17" t="s">
        <v>207</v>
      </c>
      <c r="C50" s="17" t="s">
        <v>206</v>
      </c>
      <c r="D50" s="67" t="s">
        <v>246</v>
      </c>
      <c r="E50" s="67"/>
      <c r="F50" s="67">
        <f t="shared" si="0"/>
        <v>61</v>
      </c>
      <c r="G50" s="67" t="e">
        <f t="shared" si="1"/>
        <v>#N/A</v>
      </c>
      <c r="H50" s="67">
        <f t="shared" si="2"/>
        <v>61</v>
      </c>
    </row>
    <row r="51" spans="1:8" ht="15.75">
      <c r="A51" s="16">
        <v>44</v>
      </c>
      <c r="B51" s="17" t="s">
        <v>212</v>
      </c>
      <c r="C51" s="17" t="s">
        <v>213</v>
      </c>
      <c r="D51" s="67" t="s">
        <v>246</v>
      </c>
      <c r="E51" s="67"/>
      <c r="F51" s="67">
        <f t="shared" si="0"/>
        <v>61</v>
      </c>
      <c r="G51" s="67" t="e">
        <f t="shared" si="1"/>
        <v>#N/A</v>
      </c>
      <c r="H51" s="67">
        <f t="shared" si="2"/>
        <v>61</v>
      </c>
    </row>
    <row r="52" spans="1:8" ht="15.75">
      <c r="A52" s="16">
        <v>45</v>
      </c>
      <c r="B52" s="17" t="s">
        <v>214</v>
      </c>
      <c r="C52" s="17" t="s">
        <v>215</v>
      </c>
      <c r="D52" s="67" t="s">
        <v>246</v>
      </c>
      <c r="E52" s="67"/>
      <c r="F52" s="67">
        <f t="shared" si="0"/>
        <v>61</v>
      </c>
      <c r="G52" s="67" t="e">
        <f t="shared" si="1"/>
        <v>#N/A</v>
      </c>
      <c r="H52" s="67">
        <f t="shared" si="2"/>
        <v>61</v>
      </c>
    </row>
    <row r="53" spans="1:8" ht="15.75">
      <c r="A53" s="16">
        <v>46</v>
      </c>
      <c r="B53" s="17" t="s">
        <v>216</v>
      </c>
      <c r="C53" s="17" t="s">
        <v>217</v>
      </c>
      <c r="D53" s="67" t="s">
        <v>246</v>
      </c>
      <c r="E53" s="67" t="s">
        <v>280</v>
      </c>
      <c r="F53" s="67">
        <f t="shared" si="0"/>
        <v>61</v>
      </c>
      <c r="G53" s="67">
        <f t="shared" si="1"/>
        <v>80</v>
      </c>
      <c r="H53" s="67">
        <f t="shared" si="2"/>
        <v>70.5</v>
      </c>
    </row>
    <row r="54" spans="1:8" ht="15.75">
      <c r="A54" s="16">
        <v>47</v>
      </c>
      <c r="B54" s="17" t="s">
        <v>218</v>
      </c>
      <c r="C54" s="17" t="s">
        <v>219</v>
      </c>
      <c r="D54" s="67" t="s">
        <v>246</v>
      </c>
      <c r="E54" s="67" t="s">
        <v>280</v>
      </c>
      <c r="F54" s="67">
        <f t="shared" si="0"/>
        <v>61</v>
      </c>
      <c r="G54" s="67">
        <f t="shared" si="1"/>
        <v>80</v>
      </c>
      <c r="H54" s="67">
        <f t="shared" si="2"/>
        <v>70.5</v>
      </c>
    </row>
    <row r="55" spans="1:8" ht="15.75">
      <c r="A55" s="16">
        <v>48</v>
      </c>
      <c r="B55" s="17" t="s">
        <v>220</v>
      </c>
      <c r="C55" s="17" t="s">
        <v>221</v>
      </c>
      <c r="D55" s="67" t="s">
        <v>246</v>
      </c>
      <c r="E55" s="67" t="s">
        <v>280</v>
      </c>
      <c r="F55" s="67">
        <f t="shared" si="0"/>
        <v>61</v>
      </c>
      <c r="G55" s="67">
        <f t="shared" si="1"/>
        <v>80</v>
      </c>
      <c r="H55" s="67">
        <f t="shared" si="2"/>
        <v>70.5</v>
      </c>
    </row>
    <row r="56" spans="1:8" ht="15.75">
      <c r="A56" s="16">
        <v>49</v>
      </c>
      <c r="B56" s="17" t="s">
        <v>222</v>
      </c>
      <c r="C56" s="17" t="s">
        <v>223</v>
      </c>
      <c r="D56" s="67" t="s">
        <v>246</v>
      </c>
      <c r="E56" s="67" t="s">
        <v>280</v>
      </c>
      <c r="F56" s="67">
        <f t="shared" si="0"/>
        <v>61</v>
      </c>
      <c r="G56" s="67">
        <f t="shared" si="1"/>
        <v>80</v>
      </c>
      <c r="H56" s="67">
        <f t="shared" si="2"/>
        <v>70.5</v>
      </c>
    </row>
    <row r="57" spans="1:8" ht="15.75">
      <c r="A57" s="16">
        <v>50</v>
      </c>
      <c r="B57" s="17" t="s">
        <v>224</v>
      </c>
      <c r="C57" s="17" t="s">
        <v>225</v>
      </c>
      <c r="D57" s="67" t="s">
        <v>247</v>
      </c>
      <c r="E57" s="67"/>
      <c r="F57" s="67">
        <f t="shared" si="0"/>
        <v>74</v>
      </c>
      <c r="G57" s="67" t="e">
        <f t="shared" si="1"/>
        <v>#N/A</v>
      </c>
      <c r="H57" s="67">
        <f t="shared" si="2"/>
        <v>74</v>
      </c>
    </row>
    <row r="58" spans="1:8" ht="15.75">
      <c r="A58" s="16">
        <v>51</v>
      </c>
      <c r="B58" s="17" t="s">
        <v>227</v>
      </c>
      <c r="C58" s="17" t="s">
        <v>225</v>
      </c>
      <c r="D58" s="67" t="s">
        <v>247</v>
      </c>
      <c r="E58" s="67"/>
      <c r="F58" s="67">
        <f t="shared" si="0"/>
        <v>74</v>
      </c>
      <c r="G58" s="67" t="e">
        <f t="shared" si="1"/>
        <v>#N/A</v>
      </c>
      <c r="H58" s="67">
        <f t="shared" si="2"/>
        <v>74</v>
      </c>
    </row>
    <row r="59" spans="1:8" ht="15.75">
      <c r="A59" s="16">
        <v>52</v>
      </c>
      <c r="B59" s="17" t="s">
        <v>226</v>
      </c>
      <c r="C59" s="17" t="s">
        <v>225</v>
      </c>
      <c r="D59" s="67" t="s">
        <v>247</v>
      </c>
      <c r="E59" s="67"/>
      <c r="F59" s="67">
        <f t="shared" si="0"/>
        <v>74</v>
      </c>
      <c r="G59" s="67" t="e">
        <f t="shared" si="1"/>
        <v>#N/A</v>
      </c>
      <c r="H59" s="67">
        <f t="shared" si="2"/>
        <v>74</v>
      </c>
    </row>
    <row r="60" spans="1:8" ht="15.75">
      <c r="A60" s="16">
        <v>53</v>
      </c>
      <c r="B60" s="17" t="s">
        <v>228</v>
      </c>
      <c r="C60" s="17" t="s">
        <v>229</v>
      </c>
      <c r="D60" s="67" t="s">
        <v>246</v>
      </c>
      <c r="E60" s="67" t="s">
        <v>280</v>
      </c>
      <c r="F60" s="67">
        <f t="shared" si="0"/>
        <v>61</v>
      </c>
      <c r="G60" s="67">
        <f t="shared" si="1"/>
        <v>80</v>
      </c>
      <c r="H60" s="67">
        <f t="shared" si="2"/>
        <v>70.5</v>
      </c>
    </row>
    <row r="61" spans="1:8" ht="15.75">
      <c r="A61" s="16">
        <v>54</v>
      </c>
      <c r="B61" s="17" t="s">
        <v>230</v>
      </c>
      <c r="C61" s="17" t="s">
        <v>231</v>
      </c>
      <c r="D61" s="67" t="s">
        <v>246</v>
      </c>
      <c r="E61" s="67"/>
      <c r="F61" s="67">
        <f t="shared" si="0"/>
        <v>61</v>
      </c>
      <c r="G61" s="67" t="e">
        <f t="shared" si="1"/>
        <v>#N/A</v>
      </c>
      <c r="H61" s="67">
        <f t="shared" si="2"/>
        <v>61</v>
      </c>
    </row>
    <row r="62" spans="1:8" ht="15.75">
      <c r="A62" s="16">
        <v>55</v>
      </c>
      <c r="B62" s="17" t="s">
        <v>233</v>
      </c>
      <c r="C62" s="17" t="s">
        <v>231</v>
      </c>
      <c r="D62" s="67" t="s">
        <v>246</v>
      </c>
      <c r="E62" s="67"/>
      <c r="F62" s="67">
        <f t="shared" si="0"/>
        <v>61</v>
      </c>
      <c r="G62" s="67" t="e">
        <f t="shared" si="1"/>
        <v>#N/A</v>
      </c>
      <c r="H62" s="67">
        <f t="shared" si="2"/>
        <v>61</v>
      </c>
    </row>
    <row r="63" spans="1:8" ht="15.75">
      <c r="A63" s="16">
        <v>56</v>
      </c>
      <c r="B63" s="17" t="s">
        <v>232</v>
      </c>
      <c r="C63" s="17" t="s">
        <v>231</v>
      </c>
      <c r="D63" s="67" t="s">
        <v>246</v>
      </c>
      <c r="E63" s="67"/>
      <c r="F63" s="67">
        <f t="shared" si="0"/>
        <v>61</v>
      </c>
      <c r="G63" s="67" t="e">
        <f t="shared" si="1"/>
        <v>#N/A</v>
      </c>
      <c r="H63" s="67">
        <f t="shared" si="2"/>
        <v>61</v>
      </c>
    </row>
    <row r="64" spans="1:8" ht="15.75">
      <c r="A64" s="16">
        <v>57</v>
      </c>
      <c r="B64" s="17" t="s">
        <v>234</v>
      </c>
      <c r="C64" s="17" t="s">
        <v>235</v>
      </c>
      <c r="D64" s="67" t="s">
        <v>246</v>
      </c>
      <c r="E64" s="67"/>
      <c r="F64" s="67">
        <f t="shared" si="0"/>
        <v>61</v>
      </c>
      <c r="G64" s="67" t="e">
        <f t="shared" si="1"/>
        <v>#N/A</v>
      </c>
      <c r="H64" s="67">
        <f t="shared" si="2"/>
        <v>61</v>
      </c>
    </row>
    <row r="65" spans="1:8" ht="15.75">
      <c r="A65" s="16">
        <v>58</v>
      </c>
      <c r="B65" s="17" t="s">
        <v>236</v>
      </c>
      <c r="C65" s="17" t="s">
        <v>235</v>
      </c>
      <c r="D65" s="67" t="s">
        <v>246</v>
      </c>
      <c r="E65" s="67"/>
      <c r="F65" s="67">
        <f t="shared" si="0"/>
        <v>61</v>
      </c>
      <c r="G65" s="67" t="e">
        <f t="shared" si="1"/>
        <v>#N/A</v>
      </c>
      <c r="H65" s="67">
        <f t="shared" si="2"/>
        <v>61</v>
      </c>
    </row>
    <row r="66" spans="1:8" ht="15.75">
      <c r="A66" s="16">
        <v>59</v>
      </c>
      <c r="B66" s="17" t="s">
        <v>237</v>
      </c>
      <c r="C66" s="17" t="s">
        <v>238</v>
      </c>
      <c r="D66" s="67" t="s">
        <v>247</v>
      </c>
      <c r="E66" s="67"/>
      <c r="F66" s="67">
        <f t="shared" si="0"/>
        <v>74</v>
      </c>
      <c r="G66" s="67" t="e">
        <f t="shared" si="1"/>
        <v>#N/A</v>
      </c>
      <c r="H66" s="67">
        <f t="shared" si="2"/>
        <v>74</v>
      </c>
    </row>
    <row r="67" spans="1:8" ht="15.75">
      <c r="A67" s="16">
        <v>60</v>
      </c>
      <c r="B67" s="17" t="s">
        <v>241</v>
      </c>
      <c r="C67" s="17" t="s">
        <v>242</v>
      </c>
      <c r="D67" s="67" t="s">
        <v>246</v>
      </c>
      <c r="E67" s="67" t="s">
        <v>280</v>
      </c>
      <c r="F67" s="67">
        <f t="shared" si="0"/>
        <v>61</v>
      </c>
      <c r="G67" s="67">
        <f t="shared" si="1"/>
        <v>80</v>
      </c>
      <c r="H67" s="67">
        <f t="shared" si="2"/>
        <v>70.5</v>
      </c>
    </row>
  </sheetData>
  <mergeCells count="9">
    <mergeCell ref="B6:B7"/>
    <mergeCell ref="C6:C7"/>
    <mergeCell ref="D7:E7"/>
    <mergeCell ref="F7:G7"/>
    <mergeCell ref="D1:E1"/>
    <mergeCell ref="D2:E2"/>
    <mergeCell ref="D3:E3"/>
    <mergeCell ref="D4:E4"/>
    <mergeCell ref="D5:E5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'Soil Data'!Print_Area</vt:lpstr>
    </vt:vector>
  </TitlesOfParts>
  <Company>City of Crystal Lake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cbarry</dc:creator>
  <cp:lastModifiedBy>jmawdsley</cp:lastModifiedBy>
  <cp:lastPrinted>2020-04-06T20:28:44Z</cp:lastPrinted>
  <dcterms:created xsi:type="dcterms:W3CDTF">2017-12-18T22:51:29Z</dcterms:created>
  <dcterms:modified xsi:type="dcterms:W3CDTF">2020-06-05T17:39:19Z</dcterms:modified>
</cp:coreProperties>
</file>