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mawdsley\Desktop\"/>
    </mc:Choice>
  </mc:AlternateContent>
  <bookViews>
    <workbookView xWindow="0" yWindow="0" windowWidth="16800" windowHeight="11160"/>
  </bookViews>
  <sheets>
    <sheet name="Final" sheetId="10" r:id="rId1"/>
    <sheet name="Avg Permeability &amp; CN Calc." sheetId="5" state="veryHidden" r:id="rId2"/>
    <sheet name="Soil Classification" sheetId="4" state="veryHidden" r:id="rId3"/>
    <sheet name="Soil Data" sheetId="8" state="veryHidden" r:id="rId4"/>
    <sheet name="Best Soils" sheetId="9" state="veryHidden" r:id="rId5"/>
    <sheet name="Soils Types" sheetId="7" state="veryHidden" r:id="rId6"/>
  </sheets>
  <definedNames>
    <definedName name="_xlnm.Print_Area" localSheetId="3">'Soil Data'!$A$164:$G$190</definedName>
  </definedNames>
  <calcPr calcId="162913"/>
</workbook>
</file>

<file path=xl/calcChain.xml><?xml version="1.0" encoding="utf-8"?>
<calcChain xmlns="http://schemas.openxmlformats.org/spreadsheetml/2006/main">
  <c r="B9" i="10" l="1"/>
  <c r="C9" i="10" s="1"/>
  <c r="B8" i="10"/>
  <c r="C8" i="10" s="1"/>
  <c r="B56" i="10" l="1"/>
  <c r="D51" i="10"/>
  <c r="C51" i="10"/>
  <c r="B51" i="10"/>
  <c r="B28" i="10"/>
  <c r="B27" i="10"/>
  <c r="B26" i="10"/>
  <c r="B25" i="10"/>
  <c r="B24" i="10"/>
  <c r="B18" i="10"/>
  <c r="B17" i="10"/>
  <c r="B16" i="10"/>
  <c r="B15" i="10"/>
  <c r="B14" i="10"/>
  <c r="B19" i="10" l="1"/>
  <c r="E29" i="10" s="1"/>
  <c r="B29" i="10"/>
  <c r="I4" i="5"/>
  <c r="H10" i="5" s="1"/>
  <c r="I10" i="5" s="1"/>
  <c r="M27" i="5" s="1"/>
  <c r="F4" i="5"/>
  <c r="E10" i="5" s="1"/>
  <c r="F10" i="5" s="1"/>
  <c r="M11" i="5" s="1"/>
  <c r="C4" i="5"/>
  <c r="B12" i="5" s="1"/>
  <c r="C12" i="5" s="1"/>
  <c r="G64" i="4"/>
  <c r="G63" i="4"/>
  <c r="G62" i="4"/>
  <c r="G58" i="4"/>
  <c r="G55" i="4"/>
  <c r="G54" i="4"/>
  <c r="G53" i="4"/>
  <c r="G50" i="4"/>
  <c r="G47" i="4"/>
  <c r="G46" i="4"/>
  <c r="G45" i="4"/>
  <c r="G44" i="4"/>
  <c r="G43" i="4"/>
  <c r="G42" i="4"/>
  <c r="G41" i="4"/>
  <c r="G38" i="4"/>
  <c r="G34" i="4"/>
  <c r="G30" i="4"/>
  <c r="G26" i="4"/>
  <c r="G24" i="4"/>
  <c r="G23" i="4"/>
  <c r="G22" i="4"/>
  <c r="G18" i="4"/>
  <c r="G17" i="4"/>
  <c r="G16" i="4"/>
  <c r="G15" i="4"/>
  <c r="G14" i="4"/>
  <c r="G12" i="4"/>
  <c r="G11" i="4"/>
  <c r="G9" i="4"/>
  <c r="G8" i="4"/>
  <c r="G7" i="4"/>
  <c r="G5" i="4"/>
  <c r="G4" i="4"/>
  <c r="G3" i="4"/>
  <c r="Z2" i="4"/>
  <c r="G40" i="4"/>
  <c r="W2" i="4"/>
  <c r="G13" i="4"/>
  <c r="Q2" i="4"/>
  <c r="G52" i="4"/>
  <c r="L2" i="4"/>
  <c r="G60" i="4"/>
  <c r="L10" i="7"/>
  <c r="M10" i="7"/>
  <c r="L11" i="7"/>
  <c r="M11" i="7"/>
  <c r="L12" i="7"/>
  <c r="M12" i="7"/>
  <c r="L13" i="7"/>
  <c r="M13" i="7"/>
  <c r="L14" i="7"/>
  <c r="M14" i="7"/>
  <c r="L15" i="7"/>
  <c r="M15" i="7"/>
  <c r="L16" i="7"/>
  <c r="M16" i="7"/>
  <c r="L17" i="7"/>
  <c r="M17" i="7"/>
  <c r="L18" i="7"/>
  <c r="M18" i="7"/>
  <c r="L19" i="7"/>
  <c r="M19" i="7"/>
  <c r="L20" i="7"/>
  <c r="M20" i="7"/>
  <c r="L21" i="7"/>
  <c r="M21" i="7"/>
  <c r="L22" i="7"/>
  <c r="M22" i="7"/>
  <c r="L23" i="7"/>
  <c r="M23" i="7"/>
  <c r="L24" i="7"/>
  <c r="M24" i="7"/>
  <c r="L25" i="7"/>
  <c r="M25" i="7"/>
  <c r="L26" i="7"/>
  <c r="M26" i="7"/>
  <c r="L27" i="7"/>
  <c r="M27" i="7"/>
  <c r="L28" i="7"/>
  <c r="M28" i="7"/>
  <c r="L29" i="7"/>
  <c r="M29" i="7"/>
  <c r="L30" i="7"/>
  <c r="M30" i="7"/>
  <c r="L31" i="7"/>
  <c r="M31" i="7"/>
  <c r="L32" i="7"/>
  <c r="M32" i="7"/>
  <c r="L33" i="7"/>
  <c r="M33" i="7"/>
  <c r="L34" i="7"/>
  <c r="M34" i="7"/>
  <c r="L35" i="7"/>
  <c r="M35" i="7"/>
  <c r="L36" i="7"/>
  <c r="M36" i="7"/>
  <c r="L37" i="7"/>
  <c r="M37" i="7"/>
  <c r="L38" i="7"/>
  <c r="M38" i="7"/>
  <c r="L39" i="7"/>
  <c r="M39" i="7"/>
  <c r="L40" i="7"/>
  <c r="M40" i="7"/>
  <c r="L41" i="7"/>
  <c r="M41" i="7"/>
  <c r="L42" i="7"/>
  <c r="M42" i="7"/>
  <c r="L43" i="7"/>
  <c r="M43" i="7"/>
  <c r="L44" i="7"/>
  <c r="M44" i="7"/>
  <c r="L45" i="7"/>
  <c r="M45" i="7"/>
  <c r="L46" i="7"/>
  <c r="M46" i="7"/>
  <c r="L47" i="7"/>
  <c r="M47" i="7"/>
  <c r="L48" i="7"/>
  <c r="M48" i="7"/>
  <c r="L49" i="7"/>
  <c r="M49" i="7"/>
  <c r="L50" i="7"/>
  <c r="M50" i="7"/>
  <c r="L51" i="7"/>
  <c r="M51" i="7"/>
  <c r="L52" i="7"/>
  <c r="M52" i="7"/>
  <c r="L53" i="7"/>
  <c r="M53" i="7"/>
  <c r="L54" i="7"/>
  <c r="M54" i="7"/>
  <c r="L55" i="7"/>
  <c r="M55" i="7"/>
  <c r="L56" i="7"/>
  <c r="M56" i="7"/>
  <c r="L57" i="7"/>
  <c r="M57" i="7"/>
  <c r="L58" i="7"/>
  <c r="M58" i="7"/>
  <c r="L59" i="7"/>
  <c r="M59" i="7"/>
  <c r="L60" i="7"/>
  <c r="M60" i="7"/>
  <c r="L61" i="7"/>
  <c r="M61" i="7"/>
  <c r="L62" i="7"/>
  <c r="M62" i="7"/>
  <c r="L63" i="7"/>
  <c r="M63" i="7"/>
  <c r="L64" i="7"/>
  <c r="M64" i="7"/>
  <c r="L65" i="7"/>
  <c r="M65" i="7"/>
  <c r="L66" i="7"/>
  <c r="M66" i="7"/>
  <c r="L67" i="7"/>
  <c r="M67" i="7"/>
  <c r="L68" i="7"/>
  <c r="M68" i="7"/>
  <c r="M9" i="7"/>
  <c r="L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J9" i="7"/>
  <c r="I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G9" i="7"/>
  <c r="F9" i="7"/>
  <c r="H55" i="7"/>
  <c r="AL29" i="5"/>
  <c r="H23" i="7"/>
  <c r="H18" i="7"/>
  <c r="H22" i="7"/>
  <c r="H30" i="7"/>
  <c r="H50" i="7"/>
  <c r="H54" i="7"/>
  <c r="H58" i="7"/>
  <c r="H62" i="7"/>
  <c r="H45" i="7"/>
  <c r="H66" i="7"/>
  <c r="H14" i="7"/>
  <c r="H21" i="7"/>
  <c r="H29" i="7"/>
  <c r="H39" i="7"/>
  <c r="H34" i="7"/>
  <c r="H15" i="7"/>
  <c r="H38" i="7"/>
  <c r="H42" i="7"/>
  <c r="H46" i="7"/>
  <c r="H11" i="7"/>
  <c r="H25" i="7"/>
  <c r="H27" i="7"/>
  <c r="H43" i="7"/>
  <c r="H57" i="7"/>
  <c r="H59" i="7"/>
  <c r="H26" i="7"/>
  <c r="H31" i="7"/>
  <c r="H47" i="7"/>
  <c r="H63" i="7"/>
  <c r="H10" i="7"/>
  <c r="H17" i="7"/>
  <c r="H19" i="7"/>
  <c r="H35" i="7"/>
  <c r="H51" i="7"/>
  <c r="H6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K17" i="7"/>
  <c r="K45" i="7"/>
  <c r="H13" i="7"/>
  <c r="K13" i="7"/>
  <c r="H33" i="7"/>
  <c r="H37" i="7"/>
  <c r="H41" i="7"/>
  <c r="K41" i="7"/>
  <c r="H49" i="7"/>
  <c r="K49" i="7"/>
  <c r="H53" i="7"/>
  <c r="H61" i="7"/>
  <c r="H65" i="7"/>
  <c r="K65" i="7"/>
  <c r="K22" i="7"/>
  <c r="K34" i="7"/>
  <c r="N34" i="7"/>
  <c r="K58" i="7"/>
  <c r="K66" i="7"/>
  <c r="K51" i="7"/>
  <c r="N51" i="7"/>
  <c r="K18" i="7"/>
  <c r="N18" i="7"/>
  <c r="K42" i="7"/>
  <c r="N42" i="7"/>
  <c r="K46" i="7"/>
  <c r="K10" i="7"/>
  <c r="N10" i="7"/>
  <c r="K14" i="7"/>
  <c r="N14" i="7"/>
  <c r="N66" i="7"/>
  <c r="K54" i="7"/>
  <c r="N54" i="7"/>
  <c r="K23" i="7"/>
  <c r="N23" i="7"/>
  <c r="K32" i="7"/>
  <c r="N32" i="7"/>
  <c r="K39" i="7"/>
  <c r="N39" i="7"/>
  <c r="K55" i="7"/>
  <c r="N55" i="7"/>
  <c r="K64" i="7"/>
  <c r="N64" i="7"/>
  <c r="N22" i="7"/>
  <c r="N46" i="7"/>
  <c r="N58" i="7"/>
  <c r="K30" i="7"/>
  <c r="N30" i="7"/>
  <c r="K11" i="7"/>
  <c r="N11" i="7"/>
  <c r="K62" i="7"/>
  <c r="N62" i="7"/>
  <c r="K21" i="7"/>
  <c r="N21" i="7"/>
  <c r="K59" i="7"/>
  <c r="N59" i="7"/>
  <c r="K38" i="7"/>
  <c r="N38" i="7"/>
  <c r="K12" i="7"/>
  <c r="N12" i="7"/>
  <c r="K44" i="7"/>
  <c r="N44" i="7"/>
  <c r="K63" i="7"/>
  <c r="N63" i="7"/>
  <c r="K60" i="7"/>
  <c r="N60" i="7"/>
  <c r="K28" i="7"/>
  <c r="N28" i="7"/>
  <c r="K35" i="7"/>
  <c r="N35" i="7"/>
  <c r="K50" i="7"/>
  <c r="N50" i="7"/>
  <c r="K25" i="7"/>
  <c r="N25" i="7"/>
  <c r="K57" i="7"/>
  <c r="K37" i="7"/>
  <c r="N37" i="7"/>
  <c r="K16" i="7"/>
  <c r="N16" i="7"/>
  <c r="K61" i="7"/>
  <c r="K24" i="7"/>
  <c r="N24" i="7"/>
  <c r="K29" i="7"/>
  <c r="K53" i="7"/>
  <c r="N53" i="7"/>
  <c r="K33" i="7"/>
  <c r="N33" i="7"/>
  <c r="K56" i="7"/>
  <c r="N56" i="7"/>
  <c r="K27" i="7"/>
  <c r="N27" i="7"/>
  <c r="K48" i="7"/>
  <c r="N48" i="7"/>
  <c r="N57" i="7"/>
  <c r="K15" i="7"/>
  <c r="N15" i="7"/>
  <c r="K26" i="7"/>
  <c r="N26" i="7"/>
  <c r="N41" i="7"/>
  <c r="N61" i="7"/>
  <c r="K47" i="7"/>
  <c r="N47" i="7"/>
  <c r="K40" i="7"/>
  <c r="N40" i="7"/>
  <c r="K19" i="7"/>
  <c r="N19" i="7"/>
  <c r="K43" i="7"/>
  <c r="N43" i="7"/>
  <c r="K67" i="7"/>
  <c r="N67" i="7"/>
  <c r="K31" i="7"/>
  <c r="N31" i="7"/>
  <c r="K36" i="7"/>
  <c r="N36" i="7"/>
  <c r="N13" i="7"/>
  <c r="K68" i="7"/>
  <c r="N68" i="7"/>
  <c r="N49" i="7"/>
  <c r="K52" i="7"/>
  <c r="N52" i="7"/>
  <c r="K20" i="7"/>
  <c r="N20" i="7"/>
  <c r="N45" i="7"/>
  <c r="N29" i="7"/>
  <c r="N65" i="7"/>
  <c r="N17" i="7"/>
  <c r="H9" i="7"/>
  <c r="K9" i="7"/>
  <c r="N9" i="7"/>
  <c r="G21" i="4"/>
  <c r="G25" i="4"/>
  <c r="G29" i="4"/>
  <c r="G33" i="4"/>
  <c r="G37" i="4"/>
  <c r="G49" i="4"/>
  <c r="G57" i="4"/>
  <c r="G61" i="4"/>
  <c r="G6" i="4"/>
  <c r="G10" i="4"/>
  <c r="G19" i="4"/>
  <c r="G27" i="4"/>
  <c r="G31" i="4"/>
  <c r="G35" i="4"/>
  <c r="G39" i="4"/>
  <c r="G51" i="4"/>
  <c r="G59" i="4"/>
  <c r="G20" i="4"/>
  <c r="G28" i="4"/>
  <c r="G32" i="4"/>
  <c r="G36" i="4"/>
  <c r="G48" i="4"/>
  <c r="G56" i="4"/>
  <c r="H12" i="5"/>
  <c r="I12" i="5" s="1"/>
  <c r="I5" i="5" l="1"/>
  <c r="H11" i="5"/>
  <c r="I11" i="5" s="1"/>
  <c r="D32" i="10" s="1"/>
  <c r="D20" i="10"/>
  <c r="E19" i="10"/>
  <c r="B22" i="10" s="1"/>
  <c r="C32" i="10"/>
  <c r="E31" i="10"/>
  <c r="B34" i="10"/>
  <c r="F5" i="5"/>
  <c r="C52" i="10" s="1"/>
  <c r="E12" i="5"/>
  <c r="F12" i="5" s="1"/>
  <c r="E11" i="5"/>
  <c r="F11" i="5" s="1"/>
  <c r="C20" i="10" s="1"/>
  <c r="C5" i="5"/>
  <c r="B52" i="10" s="1"/>
  <c r="B10" i="5"/>
  <c r="C10" i="5" s="1"/>
  <c r="B32" i="10" s="1"/>
  <c r="B11" i="5"/>
  <c r="C11" i="5" s="1"/>
  <c r="B20" i="10" l="1"/>
  <c r="D52" i="10"/>
  <c r="M6" i="5"/>
  <c r="B21" i="10"/>
  <c r="B38" i="10" s="1"/>
  <c r="B39" i="10" s="1"/>
  <c r="B36" i="10" s="1"/>
  <c r="B40" i="10" s="1"/>
  <c r="B33" i="10"/>
  <c r="B44" i="10" s="1"/>
  <c r="B45" i="10" s="1"/>
  <c r="B42" i="10" s="1"/>
  <c r="B46" i="10" s="1"/>
  <c r="B47" i="10" s="1"/>
  <c r="B55" i="10" s="1"/>
  <c r="B58" i="10" s="1"/>
  <c r="M5" i="5"/>
  <c r="M4" i="5"/>
  <c r="F7" i="5" s="1"/>
  <c r="B53" i="10" s="1"/>
  <c r="B54" i="10" s="1"/>
  <c r="B57" i="10" s="1"/>
  <c r="M10" i="5"/>
  <c r="F15" i="5" s="1"/>
  <c r="G61" i="10" l="1"/>
  <c r="D58" i="10"/>
  <c r="G62" i="10"/>
  <c r="G63" i="10"/>
  <c r="G65" i="10" s="1"/>
  <c r="G66" i="10" l="1"/>
  <c r="B59" i="10"/>
  <c r="D59" i="10" s="1"/>
  <c r="G64" i="10"/>
</calcChain>
</file>

<file path=xl/sharedStrings.xml><?xml version="1.0" encoding="utf-8"?>
<sst xmlns="http://schemas.openxmlformats.org/spreadsheetml/2006/main" count="1516" uniqueCount="335">
  <si>
    <t>Depth</t>
  </si>
  <si>
    <t>USDA texture</t>
  </si>
  <si>
    <t>Classification</t>
  </si>
  <si>
    <t>Unified</t>
  </si>
  <si>
    <t>In</t>
  </si>
  <si>
    <t>Muck</t>
  </si>
  <si>
    <t>PT</t>
  </si>
  <si>
    <t>Gravelly silty clay loam, silty clay loam</t>
  </si>
  <si>
    <t>CL</t>
  </si>
  <si>
    <t>Silt loam</t>
  </si>
  <si>
    <t>Silty clay loam</t>
  </si>
  <si>
    <t>Stratified loamy sand to clay loam</t>
  </si>
  <si>
    <t>CL, CL-ML</t>
  </si>
  <si>
    <t>Silty clay loam, silt loam</t>
  </si>
  <si>
    <t>Sandy loam, clay loam, loam</t>
  </si>
  <si>
    <t>CL, SC-SM</t>
  </si>
  <si>
    <t>Stratified silt loam to loamy sand</t>
  </si>
  <si>
    <t>SM, SC-SM, CL</t>
  </si>
  <si>
    <t>CL, ML</t>
  </si>
  <si>
    <t>MH, CL, ML</t>
  </si>
  <si>
    <t>Silty clay, silty clay loam</t>
  </si>
  <si>
    <t>CL, CH</t>
  </si>
  <si>
    <t>Silty clay loam, silty clay</t>
  </si>
  <si>
    <t>CH, CL</t>
  </si>
  <si>
    <t>SC-SM</t>
  </si>
  <si>
    <t>ML</t>
  </si>
  <si>
    <t>SC</t>
  </si>
  <si>
    <t>SM</t>
  </si>
  <si>
    <t>MH</t>
  </si>
  <si>
    <t>CH</t>
  </si>
  <si>
    <t>GW</t>
  </si>
  <si>
    <t>GP</t>
  </si>
  <si>
    <t>GM</t>
  </si>
  <si>
    <t>(GM)</t>
  </si>
  <si>
    <t>GC</t>
  </si>
  <si>
    <t>SW</t>
  </si>
  <si>
    <t>SP</t>
  </si>
  <si>
    <t>(SP-SW)</t>
  </si>
  <si>
    <t>(SP-GP)</t>
  </si>
  <si>
    <t>(GW-SW)</t>
  </si>
  <si>
    <t>OL</t>
  </si>
  <si>
    <t>(ML-MH)</t>
  </si>
  <si>
    <t>(CL-CH)</t>
  </si>
  <si>
    <t>OH</t>
  </si>
  <si>
    <t>Pt</t>
  </si>
  <si>
    <t>(CL-ML)</t>
  </si>
  <si>
    <t>(SC-SM)</t>
  </si>
  <si>
    <t>Fine sandy loam, loam, silt loam, clay loam</t>
  </si>
  <si>
    <t>CL-ML, SC, CL, SC-SM, SM, ML</t>
  </si>
  <si>
    <t>Loam</t>
  </si>
  <si>
    <t>SC-SM, SC, CL-ML, CL</t>
  </si>
  <si>
    <t>Silty clay loam, sandy loam, silt loam</t>
  </si>
  <si>
    <t>CL, SC</t>
  </si>
  <si>
    <t>Stratified loamy sand to silty clay loam</t>
  </si>
  <si>
    <t>SC, SC-SM, CL</t>
  </si>
  <si>
    <t>ML, CL</t>
  </si>
  <si>
    <t>Clay loam, sandy loam, loam, gravelly sandy clay loam, gravelly sandy loam</t>
  </si>
  <si>
    <t>Sandy loam, loam, silt loam</t>
  </si>
  <si>
    <t>Stratified loam to loamy sand</t>
  </si>
  <si>
    <t>SM, SC-SM, SC, CL-ML, CL</t>
  </si>
  <si>
    <t>Silt loam, clay loam, sandy clay loam</t>
  </si>
  <si>
    <t>CL, CL-ML, ML</t>
  </si>
  <si>
    <t>Clay loam, loam, sandy loam</t>
  </si>
  <si>
    <t>CL, ML, SC, SM</t>
  </si>
  <si>
    <t>Silty clay, silty clay loam, clay</t>
  </si>
  <si>
    <t>Silty clay loam, clay loam</t>
  </si>
  <si>
    <t>CH, MH</t>
  </si>
  <si>
    <t>Sandy clay loam, loam, clay loam</t>
  </si>
  <si>
    <t>SC, CL</t>
  </si>
  <si>
    <t>Stratified very gravelly loamy sand to extremely gravelly coarse sand</t>
  </si>
  <si>
    <t>GP, SP, GP-GM</t>
  </si>
  <si>
    <t>Stratified gravelly loamy sand to extremely gravelly coarse sand</t>
  </si>
  <si>
    <t>GP, SM, GP-GM</t>
  </si>
  <si>
    <t>Sandy clay loam</t>
  </si>
  <si>
    <t>Gravelly sandy loam, sandy loam</t>
  </si>
  <si>
    <t>CL, ML, CL-ML</t>
  </si>
  <si>
    <t>Loam, fine sandy loam, sandy loam</t>
  </si>
  <si>
    <t>SC, SC-SM</t>
  </si>
  <si>
    <t>Sandy loam, gravelly sandy loam, fine sandy loam</t>
  </si>
  <si>
    <t>Loam, clay loam, gravelly sandy clay loam</t>
  </si>
  <si>
    <t>Sand and gravel</t>
  </si>
  <si>
    <t>GP, GP-GM, SP, SP-SM</t>
  </si>
  <si>
    <t>Clay loam, sandy clay loam, gravelly loam</t>
  </si>
  <si>
    <t>CL, GC, SC</t>
  </si>
  <si>
    <t>Stratified sand to extremely gravelly coarse sand</t>
  </si>
  <si>
    <t>Clay loam</t>
  </si>
  <si>
    <t>Very gravelly loam, gravelly loam, sandy clay loam</t>
  </si>
  <si>
    <t>Stratified gravelly loamy sand to extremely gravelly coarse sand, very gravelly coarse sand</t>
  </si>
  <si>
    <t>SP-SM</t>
  </si>
  <si>
    <t>Clay loam, gravelly clay loam, sandy clay loam, very gravelly loam</t>
  </si>
  <si>
    <t>Stratified gravelly loamy sand to extremely gravelly coarse sand, very gravelly sand</t>
  </si>
  <si>
    <t>GP-GM</t>
  </si>
  <si>
    <t>Gravelly loam, sandy clay loam</t>
  </si>
  <si>
    <t>SC, GC, CL</t>
  </si>
  <si>
    <t>Gravelly sand, very gravelly coarse sand, stratified sand to gravel</t>
  </si>
  <si>
    <t>SP, GP, GP-GM, SP-SM, SM</t>
  </si>
  <si>
    <t>Stratified gravelly sand to very gravelly coarse sand to extremely gravelly coarse sand</t>
  </si>
  <si>
    <t>GP, SP-SM</t>
  </si>
  <si>
    <t>Sand and gravel, sand, coarse sand</t>
  </si>
  <si>
    <t>Loam, clay loam, silty clay loam</t>
  </si>
  <si>
    <t>Stratified sand to very gravelly loamy sand</t>
  </si>
  <si>
    <t>CL, MH, CH</t>
  </si>
  <si>
    <t>Sandy clay loam, sandy loam</t>
  </si>
  <si>
    <t>Gravelly loamy sand, sand, error</t>
  </si>
  <si>
    <t>Sandy clay loam, loam, clay loam, silt loam, sandy loam</t>
  </si>
  <si>
    <t>CL, CL-ML, SC-SM, SC</t>
  </si>
  <si>
    <t>Sandy clay loam, loam</t>
  </si>
  <si>
    <t>Gravelly sandy loam, sandy loam, fine sandy loam</t>
  </si>
  <si>
    <t>GC-GM</t>
  </si>
  <si>
    <t>Clay loam, sandy clay loam, loam</t>
  </si>
  <si>
    <t>Fine sandy loam, sandy loam, gravelly sandy loam</t>
  </si>
  <si>
    <t>GM, SC-SM</t>
  </si>
  <si>
    <t>GM, SM</t>
  </si>
  <si>
    <t>SM, SC-SM, SC</t>
  </si>
  <si>
    <t>Sandy loam, loam</t>
  </si>
  <si>
    <t>Stratified loam to gravelly loamy sand</t>
  </si>
  <si>
    <t>Sand and gravel, very gravelly sandy loam, sand</t>
  </si>
  <si>
    <t>Loamy sand, sand</t>
  </si>
  <si>
    <t>SM, SP-SM</t>
  </si>
  <si>
    <t>Clay loam, silt loam, gravelly sandy loam, loam</t>
  </si>
  <si>
    <t>Gravelly sand, extremely gravelly coarse sand</t>
  </si>
  <si>
    <t>GM, GP-GM, SM, SP-SM</t>
  </si>
  <si>
    <t>Stratified sandy loam to silty clay loam</t>
  </si>
  <si>
    <t>Gravelly sand, extremely gravelly coarse sand, gravelly sandy loam</t>
  </si>
  <si>
    <t>Clay loam, loam</t>
  </si>
  <si>
    <t>Loam, sandy loam, loamy sand</t>
  </si>
  <si>
    <t>CL, CL-ML, SC, SC-SM</t>
  </si>
  <si>
    <t>SM, SP-SM, SC-SM</t>
  </si>
  <si>
    <t>Clay, silty clay loam, silty clay</t>
  </si>
  <si>
    <t>Clay loam, gravelly loam, sandy loam</t>
  </si>
  <si>
    <t>CL, SC, SM, CL-ML, ML</t>
  </si>
  <si>
    <t>GP-GM, SP, SP-SM, GP</t>
  </si>
  <si>
    <t>Gravelly clay loam, gravelly sandy loam, gravelly loamy sand, loam</t>
  </si>
  <si>
    <t>CH, CL, MH</t>
  </si>
  <si>
    <t>CL, ML, MH</t>
  </si>
  <si>
    <t>Clay loam, loam, silty clay loam</t>
  </si>
  <si>
    <t>(GP-GM)</t>
  </si>
  <si>
    <t>(SP-SM)</t>
  </si>
  <si>
    <t>100A</t>
  </si>
  <si>
    <t>Palms muck</t>
  </si>
  <si>
    <t>103A</t>
  </si>
  <si>
    <t>Houghton muck</t>
  </si>
  <si>
    <t>104A</t>
  </si>
  <si>
    <t>Virgil silt loam</t>
  </si>
  <si>
    <t>134B</t>
  </si>
  <si>
    <t>Camden silt loam</t>
  </si>
  <si>
    <t>Soil Name</t>
  </si>
  <si>
    <t>Map Unit Symbol</t>
  </si>
  <si>
    <t>146A</t>
  </si>
  <si>
    <t>Elliott silt loam</t>
  </si>
  <si>
    <t>149A</t>
  </si>
  <si>
    <t>Brenton silt loam</t>
  </si>
  <si>
    <t>153A</t>
  </si>
  <si>
    <t>Pella silty clay loam</t>
  </si>
  <si>
    <t>153A+</t>
  </si>
  <si>
    <t>Pella silt loam</t>
  </si>
  <si>
    <t>Troxel silt loam</t>
  </si>
  <si>
    <t>197A</t>
  </si>
  <si>
    <t>Elburn silt loam</t>
  </si>
  <si>
    <t>198A</t>
  </si>
  <si>
    <t>206A</t>
  </si>
  <si>
    <t>Thorp silt loam</t>
  </si>
  <si>
    <t>210A</t>
  </si>
  <si>
    <t>Lena muck</t>
  </si>
  <si>
    <t>219A</t>
  </si>
  <si>
    <t>Millbrook silt loam</t>
  </si>
  <si>
    <t>223B</t>
  </si>
  <si>
    <t>Varna silt loam</t>
  </si>
  <si>
    <t>232A</t>
  </si>
  <si>
    <t>Ashkum silty clay loam</t>
  </si>
  <si>
    <t>290A</t>
  </si>
  <si>
    <t>Warsaw loam</t>
  </si>
  <si>
    <t>290B</t>
  </si>
  <si>
    <t>290C2</t>
  </si>
  <si>
    <t>Ringwood silt loam</t>
  </si>
  <si>
    <t>297B</t>
  </si>
  <si>
    <t>298B</t>
  </si>
  <si>
    <t>Beecher silt loam</t>
  </si>
  <si>
    <t>310B</t>
  </si>
  <si>
    <t>McHenry silt loam</t>
  </si>
  <si>
    <t>Lorenzo loam</t>
  </si>
  <si>
    <t>318B</t>
  </si>
  <si>
    <t>318C2</t>
  </si>
  <si>
    <t>323B</t>
  </si>
  <si>
    <t>Casco loam</t>
  </si>
  <si>
    <t>323C2</t>
  </si>
  <si>
    <t>323C3</t>
  </si>
  <si>
    <t>Casco clay loam</t>
  </si>
  <si>
    <t>323D3</t>
  </si>
  <si>
    <t>325A</t>
  </si>
  <si>
    <t>Dresden silt loam</t>
  </si>
  <si>
    <t>325B</t>
  </si>
  <si>
    <t>327A</t>
  </si>
  <si>
    <t>Fox silt loam</t>
  </si>
  <si>
    <t>Fox loam</t>
  </si>
  <si>
    <t>327D2</t>
  </si>
  <si>
    <t>327C2</t>
  </si>
  <si>
    <t>327B</t>
  </si>
  <si>
    <t>329A</t>
  </si>
  <si>
    <t>Will loam</t>
  </si>
  <si>
    <t>330A</t>
  </si>
  <si>
    <t>Peotone silty clay loam</t>
  </si>
  <si>
    <t>343A</t>
  </si>
  <si>
    <t>Kane silt loam</t>
  </si>
  <si>
    <t>344A</t>
  </si>
  <si>
    <t>Harvard silt loam</t>
  </si>
  <si>
    <t>361B</t>
  </si>
  <si>
    <t>Kidder loam</t>
  </si>
  <si>
    <t>Kidder clay loam</t>
  </si>
  <si>
    <t>361D3</t>
  </si>
  <si>
    <t>361D2</t>
  </si>
  <si>
    <t>361C3</t>
  </si>
  <si>
    <t>361C2</t>
  </si>
  <si>
    <t>361C</t>
  </si>
  <si>
    <t>363C2</t>
  </si>
  <si>
    <t>Griswold loam</t>
  </si>
  <si>
    <t>369A</t>
  </si>
  <si>
    <t>Waupecan silt loam</t>
  </si>
  <si>
    <t>488A</t>
  </si>
  <si>
    <t>Hooppole loam</t>
  </si>
  <si>
    <t>523A</t>
  </si>
  <si>
    <t>Dunham silty clay loam</t>
  </si>
  <si>
    <t>526A</t>
  </si>
  <si>
    <t>Grundelein silt loam</t>
  </si>
  <si>
    <t>528A</t>
  </si>
  <si>
    <t>Lahoguess loam</t>
  </si>
  <si>
    <t>530B</t>
  </si>
  <si>
    <t>Ozaukee silt loam</t>
  </si>
  <si>
    <t>530D2</t>
  </si>
  <si>
    <t>530C2</t>
  </si>
  <si>
    <t>557A</t>
  </si>
  <si>
    <t>Millstream silt loam</t>
  </si>
  <si>
    <t>791A</t>
  </si>
  <si>
    <t>Rush silt loam</t>
  </si>
  <si>
    <t>791C2</t>
  </si>
  <si>
    <t>791B</t>
  </si>
  <si>
    <t>792A</t>
  </si>
  <si>
    <t>Bowes silt loam</t>
  </si>
  <si>
    <t>792B</t>
  </si>
  <si>
    <t>802B</t>
  </si>
  <si>
    <t>Orthents</t>
  </si>
  <si>
    <t>1210A</t>
  </si>
  <si>
    <t>1330A</t>
  </si>
  <si>
    <t>8776A</t>
  </si>
  <si>
    <t>Comfrey loam</t>
  </si>
  <si>
    <t>Soil Permeability Rate (in/hr)</t>
  </si>
  <si>
    <t>B/D</t>
  </si>
  <si>
    <t>A/D</t>
  </si>
  <si>
    <t>B</t>
  </si>
  <si>
    <t>C</t>
  </si>
  <si>
    <t>AVG Limit (ft)</t>
  </si>
  <si>
    <t>Water Table</t>
  </si>
  <si>
    <t>Symbol</t>
  </si>
  <si>
    <t>Hydrologic Group</t>
  </si>
  <si>
    <t>acres</t>
  </si>
  <si>
    <t>=</t>
  </si>
  <si>
    <t xml:space="preserve">Runoff, R (in) = </t>
  </si>
  <si>
    <t>CN</t>
  </si>
  <si>
    <t>S =</t>
  </si>
  <si>
    <t>USCS Infiltration Rate (in/hr)</t>
  </si>
  <si>
    <t>cf</t>
  </si>
  <si>
    <t>Unified Soil Classification System (USCS) Symbol</t>
  </si>
  <si>
    <t>Average USCS Infiltration Rate (in/hr)</t>
  </si>
  <si>
    <t>Depth (in)</t>
  </si>
  <si>
    <t xml:space="preserve">Upper </t>
  </si>
  <si>
    <t>Lower</t>
  </si>
  <si>
    <t>Soil Permeability</t>
  </si>
  <si>
    <t xml:space="preserve"> Rate (in/hr)</t>
  </si>
  <si>
    <t>P = 100-year, 24-hour rainfall =</t>
  </si>
  <si>
    <t>For Information Only - NRCS Runoff Equation:</t>
  </si>
  <si>
    <t>ENTER VALUES IN THE YELLOW FIELDS ONLY</t>
  </si>
  <si>
    <t>For Information Only - Infiltration Calculations</t>
  </si>
  <si>
    <t>Existing Stormwater Runoff (cubic feet) =</t>
  </si>
  <si>
    <t>Proposed Stormwater Runoff (cubic feet) =</t>
  </si>
  <si>
    <t>Stormwater Storage Volume Required (cubic feet) =</t>
  </si>
  <si>
    <t>USCS Infiltration Rate (cf/24 hr/lf of Infiltration 2 ft. wide Trench and/or Chamber)</t>
  </si>
  <si>
    <t>Stormwater Storage Volume Required</t>
  </si>
  <si>
    <t>Seasonal High Ground Water Level Below Finished Grade in Inches (D)</t>
  </si>
  <si>
    <t xml:space="preserve">Total Volume Infiltrated in 24-hours per linear foot of trench </t>
  </si>
  <si>
    <t>Volume of 1 linear foot of 2 foot wide Combo, "D" inches deep</t>
  </si>
  <si>
    <t>Combo Volume</t>
  </si>
  <si>
    <t>24 hr. Infiltration Volume</t>
  </si>
  <si>
    <t>24 hr. Total Volume</t>
  </si>
  <si>
    <t>days</t>
  </si>
  <si>
    <t>Days to Drain</t>
  </si>
  <si>
    <t>CHECK</t>
  </si>
  <si>
    <t>A</t>
  </si>
  <si>
    <t>D</t>
  </si>
  <si>
    <t>Avg. CN</t>
  </si>
  <si>
    <t xml:space="preserve">Avg CN </t>
  </si>
  <si>
    <t>Avg Soil Permeability Rate (in/hr)</t>
  </si>
  <si>
    <t>cf/24 hrs/lf</t>
  </si>
  <si>
    <t xml:space="preserve">Impervious Area (Roof, Pavement, Gravel, Sidewalk) = </t>
  </si>
  <si>
    <t>Existing Lawn Area =</t>
  </si>
  <si>
    <t xml:space="preserve"> Existing Brush (brush-weed-grass mixture with brush the major element) =</t>
  </si>
  <si>
    <t>Existing Rain Garden Area =</t>
  </si>
  <si>
    <t xml:space="preserve">Total Lot Area = </t>
  </si>
  <si>
    <t>Existing Site Information:</t>
  </si>
  <si>
    <t>Proposed Site Information:</t>
  </si>
  <si>
    <t>acre</t>
  </si>
  <si>
    <t>Compare values; must match</t>
  </si>
  <si>
    <t>Do Values Match?</t>
  </si>
  <si>
    <t xml:space="preserve">Proposed Impervious Area (Roof, Pavement, Gravel, Sidewalk) = </t>
  </si>
  <si>
    <t>Proposed Lawn Area =</t>
  </si>
  <si>
    <t>Proposed Brush (brush-weed-grass mixture with brush the major element) =</t>
  </si>
  <si>
    <t xml:space="preserve">Existing Wooded Area = </t>
  </si>
  <si>
    <t xml:space="preserve">Proposed  Wooded Area = </t>
  </si>
  <si>
    <t>Proposed Rain Garden Area =</t>
  </si>
  <si>
    <t xml:space="preserve">Existing Impervious Area = </t>
  </si>
  <si>
    <t xml:space="preserve">Proposed Impervious Area = </t>
  </si>
  <si>
    <t>Brush</t>
  </si>
  <si>
    <t>Woods</t>
  </si>
  <si>
    <t>Lawn (CN)</t>
  </si>
  <si>
    <t>Brush (CN)</t>
  </si>
  <si>
    <t>Woods (CN)</t>
  </si>
  <si>
    <t>Lawn</t>
  </si>
  <si>
    <t>Areas</t>
  </si>
  <si>
    <t>Wooded</t>
  </si>
  <si>
    <t xml:space="preserve">Average Existing Curve Number, CN = </t>
  </si>
  <si>
    <t xml:space="preserve">Existing Curve Numbers per Soil Type, CN = </t>
  </si>
  <si>
    <t xml:space="preserve">Proposed Curve Numbers per Soil Type, CN = </t>
  </si>
  <si>
    <t xml:space="preserve">Average Proposed Curve Number, CN = </t>
  </si>
  <si>
    <t>325b</t>
  </si>
  <si>
    <t>DETAILED ANALYSIS CALCULATOR</t>
  </si>
  <si>
    <t>Step 1: Determine Total Impervious Lot Coverage</t>
  </si>
  <si>
    <t>Enter Total Lot Area in Square Feet</t>
  </si>
  <si>
    <t>Existing Impervious Area in Square Feet</t>
  </si>
  <si>
    <t>Proposed Impervious Area Added in Square Feet</t>
  </si>
  <si>
    <t>Step 2: Determine Length of Infiltration Trench Required</t>
  </si>
  <si>
    <t>sq ft</t>
  </si>
  <si>
    <t>Total Length of Infiltration Trench Required (maximum 50 feet)</t>
  </si>
  <si>
    <t>Total Number of Days to Drain (maximum 3 days)</t>
  </si>
  <si>
    <t>feet</t>
  </si>
  <si>
    <t>Total Impervious Surface (maximum 50%)</t>
  </si>
  <si>
    <t>Increase in Impervious Surface (maximum 1.5%)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</si>
</sst>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"/>
    <numFmt numFmtId="165" formatCode="0.0000"/>
    <numFmt numFmtId="166" formatCode="0.00000000"/>
    <numFmt numFmtId="167" formatCode="0.0000000000"/>
    <numFmt numFmtId="168" formatCode="_(* #,##0_);_(* \(#,##0\);_(* &quot;-&quot;??_);_(@_)"/>
    <numFmt numFmtId="169" formatCode="0.000000000000"/>
    <numFmt numFmtId="170" formatCode="0.00000000000000"/>
    <numFmt numFmtId="171" formatCode="0.0%"/>
  </numFmts>
  <fonts count="21">
    <font>
      <sz val="11"/>
      <color theme="1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Veranda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rgb="FFFA7D00"/>
      <name val="Veranda"/>
    </font>
    <font>
      <b/>
      <sz val="12"/>
      <color theme="1"/>
      <name val="Veranda"/>
    </font>
    <font>
      <b/>
      <sz val="12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4"/>
      <color theme="1"/>
      <name val="Arial Narrow"/>
      <family val="2"/>
    </font>
    <font>
      <i/>
      <sz val="14"/>
      <color theme="1"/>
      <name val="Arial Narrow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2" borderId="42" applyNumberForma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4">
    <xf numFmtId="0" fontId="0" fillId="0" borderId="0" xfId="0"/>
    <xf numFmtId="0" fontId="6" fillId="0" borderId="0" xfId="0" applyFont="1"/>
    <xf numFmtId="166" fontId="6" fillId="0" borderId="0" xfId="0" applyNumberFormat="1" applyFont="1"/>
    <xf numFmtId="0" fontId="0" fillId="0" borderId="1" xfId="0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8" fillId="0" borderId="0" xfId="4" applyFont="1" applyAlignment="1" applyProtection="1">
      <alignment horizontal="center" vertical="center"/>
    </xf>
    <xf numFmtId="0" fontId="8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4" applyFont="1" applyFill="1" applyBorder="1" applyAlignment="1" applyProtection="1">
      <alignment horizontal="center" vertical="center" wrapText="1"/>
    </xf>
    <xf numFmtId="169" fontId="7" fillId="0" borderId="0" xfId="0" applyNumberFormat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70" fontId="7" fillId="0" borderId="0" xfId="0" applyNumberFormat="1" applyFont="1" applyFill="1" applyAlignment="1">
      <alignment horizontal="center" vertical="center"/>
    </xf>
    <xf numFmtId="169" fontId="8" fillId="0" borderId="0" xfId="4" applyNumberFormat="1" applyFont="1" applyAlignment="1" applyProtection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7" fontId="6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67" fontId="0" fillId="0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7" fontId="0" fillId="3" borderId="0" xfId="0" applyNumberFormat="1" applyFill="1" applyAlignment="1">
      <alignment vertical="center"/>
    </xf>
    <xf numFmtId="1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vertical="center" wrapText="1"/>
    </xf>
    <xf numFmtId="1" fontId="0" fillId="3" borderId="0" xfId="0" applyNumberFormat="1" applyFill="1" applyAlignment="1">
      <alignment horizontal="center" vertical="center" wrapText="1"/>
    </xf>
    <xf numFmtId="167" fontId="0" fillId="3" borderId="0" xfId="0" applyNumberFormat="1" applyFill="1" applyAlignment="1">
      <alignment vertical="center"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/>
    <xf numFmtId="2" fontId="9" fillId="0" borderId="0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9" fillId="0" borderId="4" xfId="0" applyFont="1" applyBorder="1" applyAlignment="1"/>
    <xf numFmtId="0" fontId="9" fillId="0" borderId="5" xfId="0" applyFont="1" applyBorder="1"/>
    <xf numFmtId="0" fontId="9" fillId="0" borderId="6" xfId="0" applyFont="1" applyBorder="1"/>
    <xf numFmtId="165" fontId="9" fillId="0" borderId="7" xfId="0" applyNumberFormat="1" applyFont="1" applyFill="1" applyBorder="1"/>
    <xf numFmtId="165" fontId="9" fillId="0" borderId="7" xfId="0" applyNumberFormat="1" applyFont="1" applyBorder="1"/>
    <xf numFmtId="165" fontId="9" fillId="0" borderId="8" xfId="0" applyNumberFormat="1" applyFont="1" applyBorder="1"/>
    <xf numFmtId="39" fontId="9" fillId="0" borderId="7" xfId="0" applyNumberFormat="1" applyFont="1" applyFill="1" applyBorder="1"/>
    <xf numFmtId="0" fontId="9" fillId="0" borderId="7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/>
    <xf numFmtId="164" fontId="7" fillId="0" borderId="9" xfId="0" applyNumberFormat="1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/>
    </xf>
    <xf numFmtId="164" fontId="7" fillId="0" borderId="12" xfId="0" applyNumberFormat="1" applyFont="1" applyBorder="1"/>
    <xf numFmtId="0" fontId="7" fillId="0" borderId="13" xfId="0" applyFont="1" applyBorder="1" applyAlignment="1">
      <alignment horizontal="left"/>
    </xf>
    <xf numFmtId="164" fontId="7" fillId="0" borderId="3" xfId="0" applyNumberFormat="1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43" fontId="7" fillId="0" borderId="9" xfId="0" applyNumberFormat="1" applyFont="1" applyBorder="1"/>
    <xf numFmtId="0" fontId="7" fillId="0" borderId="11" xfId="0" applyFont="1" applyBorder="1"/>
    <xf numFmtId="0" fontId="9" fillId="0" borderId="4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/>
    </xf>
    <xf numFmtId="0" fontId="11" fillId="2" borderId="4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2" borderId="43" xfId="1" applyFont="1" applyBorder="1" applyAlignment="1">
      <alignment horizontal="center" vertical="center"/>
    </xf>
    <xf numFmtId="167" fontId="6" fillId="0" borderId="0" xfId="0" applyNumberFormat="1" applyFont="1" applyBorder="1"/>
    <xf numFmtId="167" fontId="6" fillId="0" borderId="1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4" xfId="0" applyFont="1" applyBorder="1"/>
    <xf numFmtId="0" fontId="6" fillId="0" borderId="5" xfId="0" applyFont="1" applyBorder="1"/>
    <xf numFmtId="0" fontId="6" fillId="0" borderId="6" xfId="0" applyFont="1" applyBorder="1"/>
    <xf numFmtId="0" fontId="12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3" fillId="0" borderId="14" xfId="0" applyFont="1" applyFill="1" applyBorder="1" applyAlignment="1">
      <alignment horizontal="right"/>
    </xf>
    <xf numFmtId="168" fontId="13" fillId="0" borderId="5" xfId="0" applyNumberFormat="1" applyFont="1" applyFill="1" applyBorder="1"/>
    <xf numFmtId="0" fontId="9" fillId="0" borderId="17" xfId="0" applyFont="1" applyBorder="1" applyAlignment="1">
      <alignment horizontal="left"/>
    </xf>
    <xf numFmtId="165" fontId="9" fillId="0" borderId="18" xfId="0" applyNumberFormat="1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/>
    <xf numFmtId="0" fontId="8" fillId="0" borderId="0" xfId="4" applyFont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14" xfId="0" applyFont="1" applyBorder="1" applyAlignment="1">
      <alignment horizontal="right"/>
    </xf>
    <xf numFmtId="168" fontId="9" fillId="0" borderId="5" xfId="2" applyNumberFormat="1" applyFont="1" applyBorder="1"/>
    <xf numFmtId="2" fontId="9" fillId="0" borderId="0" xfId="0" applyNumberFormat="1" applyFont="1" applyFill="1" applyBorder="1"/>
    <xf numFmtId="164" fontId="1" fillId="0" borderId="0" xfId="0" applyNumberFormat="1" applyFont="1" applyFill="1" applyBorder="1"/>
    <xf numFmtId="0" fontId="10" fillId="0" borderId="21" xfId="0" applyFont="1" applyBorder="1"/>
    <xf numFmtId="1" fontId="9" fillId="0" borderId="7" xfId="0" applyNumberFormat="1" applyFont="1" applyBorder="1"/>
    <xf numFmtId="165" fontId="9" fillId="0" borderId="23" xfId="0" applyNumberFormat="1" applyFont="1" applyFill="1" applyBorder="1"/>
    <xf numFmtId="165" fontId="9" fillId="0" borderId="23" xfId="0" applyNumberFormat="1" applyFont="1" applyBorder="1"/>
    <xf numFmtId="1" fontId="9" fillId="0" borderId="18" xfId="0" applyNumberFormat="1" applyFont="1" applyFill="1" applyBorder="1" applyAlignment="1">
      <alignment horizontal="center"/>
    </xf>
    <xf numFmtId="165" fontId="9" fillId="0" borderId="22" xfId="0" applyNumberFormat="1" applyFont="1" applyBorder="1"/>
    <xf numFmtId="0" fontId="12" fillId="0" borderId="0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1" xfId="0" applyFont="1" applyBorder="1"/>
    <xf numFmtId="0" fontId="16" fillId="0" borderId="0" xfId="0" applyFont="1" applyBorder="1"/>
    <xf numFmtId="0" fontId="19" fillId="0" borderId="4" xfId="0" applyFont="1" applyBorder="1" applyAlignment="1">
      <alignment horizontal="right"/>
    </xf>
    <xf numFmtId="2" fontId="16" fillId="0" borderId="41" xfId="0" applyNumberFormat="1" applyFont="1" applyBorder="1"/>
    <xf numFmtId="165" fontId="16" fillId="0" borderId="7" xfId="0" applyNumberFormat="1" applyFont="1" applyFill="1" applyBorder="1"/>
    <xf numFmtId="0" fontId="16" fillId="0" borderId="7" xfId="0" applyFont="1" applyBorder="1" applyAlignment="1">
      <alignment horizontal="center"/>
    </xf>
    <xf numFmtId="168" fontId="16" fillId="3" borderId="7" xfId="2" applyNumberFormat="1" applyFont="1" applyFill="1" applyBorder="1" applyProtection="1">
      <protection locked="0"/>
    </xf>
    <xf numFmtId="0" fontId="16" fillId="0" borderId="7" xfId="0" applyFont="1" applyBorder="1"/>
    <xf numFmtId="168" fontId="16" fillId="0" borderId="7" xfId="2" applyNumberFormat="1" applyFont="1" applyFill="1" applyBorder="1"/>
    <xf numFmtId="0" fontId="16" fillId="0" borderId="28" xfId="0" applyFont="1" applyBorder="1" applyAlignment="1">
      <alignment horizontal="center"/>
    </xf>
    <xf numFmtId="165" fontId="17" fillId="0" borderId="7" xfId="0" applyNumberFormat="1" applyFont="1" applyFill="1" applyBorder="1"/>
    <xf numFmtId="165" fontId="17" fillId="0" borderId="7" xfId="0" applyNumberFormat="1" applyFont="1" applyFill="1" applyBorder="1" applyAlignment="1">
      <alignment horizontal="center"/>
    </xf>
    <xf numFmtId="2" fontId="16" fillId="0" borderId="7" xfId="0" applyNumberFormat="1" applyFont="1" applyBorder="1"/>
    <xf numFmtId="0" fontId="10" fillId="3" borderId="7" xfId="0" applyFont="1" applyFill="1" applyBorder="1" applyAlignment="1" applyProtection="1">
      <alignment horizontal="center"/>
      <protection locked="0"/>
    </xf>
    <xf numFmtId="0" fontId="16" fillId="0" borderId="30" xfId="0" applyFont="1" applyBorder="1"/>
    <xf numFmtId="0" fontId="16" fillId="0" borderId="51" xfId="0" applyFont="1" applyBorder="1"/>
    <xf numFmtId="0" fontId="10" fillId="7" borderId="7" xfId="0" applyFont="1" applyFill="1" applyBorder="1" applyAlignment="1"/>
    <xf numFmtId="0" fontId="10" fillId="7" borderId="18" xfId="0" applyFont="1" applyFill="1" applyBorder="1" applyAlignment="1"/>
    <xf numFmtId="0" fontId="10" fillId="7" borderId="4" xfId="0" applyFont="1" applyFill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18" fillId="0" borderId="4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8" xfId="0" applyFont="1" applyBorder="1"/>
    <xf numFmtId="0" fontId="16" fillId="0" borderId="21" xfId="0" applyFont="1" applyBorder="1" applyAlignment="1">
      <alignment horizontal="right"/>
    </xf>
    <xf numFmtId="0" fontId="16" fillId="0" borderId="4" xfId="0" applyFont="1" applyFill="1" applyBorder="1" applyAlignment="1">
      <alignment horizontal="right"/>
    </xf>
    <xf numFmtId="0" fontId="17" fillId="0" borderId="8" xfId="0" applyFont="1" applyFill="1" applyBorder="1"/>
    <xf numFmtId="0" fontId="0" fillId="0" borderId="3" xfId="0" applyBorder="1"/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1" fontId="10" fillId="7" borderId="28" xfId="0" applyNumberFormat="1" applyFont="1" applyFill="1" applyBorder="1"/>
    <xf numFmtId="0" fontId="9" fillId="0" borderId="60" xfId="0" applyFont="1" applyBorder="1" applyAlignment="1"/>
    <xf numFmtId="43" fontId="9" fillId="0" borderId="61" xfId="0" applyNumberFormat="1" applyFont="1" applyBorder="1"/>
    <xf numFmtId="0" fontId="9" fillId="0" borderId="61" xfId="0" applyFont="1" applyBorder="1" applyAlignment="1">
      <alignment horizontal="center"/>
    </xf>
    <xf numFmtId="38" fontId="10" fillId="7" borderId="7" xfId="0" applyNumberFormat="1" applyFont="1" applyFill="1" applyBorder="1"/>
    <xf numFmtId="0" fontId="10" fillId="7" borderId="7" xfId="0" applyFont="1" applyFill="1" applyBorder="1" applyAlignment="1">
      <alignment horizontal="left"/>
    </xf>
    <xf numFmtId="0" fontId="10" fillId="7" borderId="17" xfId="0" applyFont="1" applyFill="1" applyBorder="1" applyAlignment="1">
      <alignment horizontal="right"/>
    </xf>
    <xf numFmtId="37" fontId="10" fillId="7" borderId="18" xfId="0" applyNumberFormat="1" applyFont="1" applyFill="1" applyBorder="1"/>
    <xf numFmtId="0" fontId="10" fillId="7" borderId="18" xfId="0" applyFont="1" applyFill="1" applyBorder="1" applyAlignment="1">
      <alignment horizontal="left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9" fontId="16" fillId="0" borderId="28" xfId="3" applyFont="1" applyBorder="1" applyAlignment="1">
      <alignment horizontal="center"/>
    </xf>
    <xf numFmtId="9" fontId="16" fillId="0" borderId="45" xfId="3" applyFont="1" applyBorder="1" applyAlignment="1">
      <alignment horizontal="center"/>
    </xf>
    <xf numFmtId="9" fontId="16" fillId="0" borderId="47" xfId="3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left"/>
    </xf>
    <xf numFmtId="0" fontId="10" fillId="7" borderId="45" xfId="0" applyFont="1" applyFill="1" applyBorder="1" applyAlignment="1">
      <alignment horizontal="left"/>
    </xf>
    <xf numFmtId="0" fontId="10" fillId="7" borderId="46" xfId="0" applyFont="1" applyFill="1" applyBorder="1" applyAlignment="1">
      <alignment horizontal="left"/>
    </xf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8" fillId="5" borderId="44" xfId="0" applyFont="1" applyFill="1" applyBorder="1" applyAlignment="1">
      <alignment horizontal="center"/>
    </xf>
    <xf numFmtId="0" fontId="18" fillId="5" borderId="45" xfId="0" applyFont="1" applyFill="1" applyBorder="1" applyAlignment="1">
      <alignment horizontal="center"/>
    </xf>
    <xf numFmtId="0" fontId="18" fillId="5" borderId="46" xfId="0" applyFont="1" applyFill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2" fontId="16" fillId="0" borderId="9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0" fontId="10" fillId="0" borderId="5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18" fillId="0" borderId="58" xfId="0" applyFont="1" applyFill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59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9" fontId="16" fillId="0" borderId="7" xfId="3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20" fillId="6" borderId="4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10" fillId="3" borderId="23" xfId="0" applyNumberFormat="1" applyFont="1" applyFill="1" applyBorder="1" applyAlignment="1" applyProtection="1">
      <alignment horizontal="center"/>
      <protection locked="0"/>
    </xf>
    <xf numFmtId="1" fontId="10" fillId="3" borderId="22" xfId="0" applyNumberFormat="1" applyFont="1" applyFill="1" applyBorder="1" applyAlignment="1" applyProtection="1">
      <alignment horizontal="center"/>
      <protection locked="0"/>
    </xf>
    <xf numFmtId="0" fontId="8" fillId="0" borderId="0" xfId="4" applyFont="1" applyAlignment="1" applyProtection="1">
      <alignment horizontal="center" vertical="center" wrapText="1"/>
    </xf>
    <xf numFmtId="170" fontId="8" fillId="0" borderId="0" xfId="4" applyNumberFormat="1" applyFont="1" applyAlignment="1" applyProtection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39" xfId="4" applyFont="1" applyBorder="1" applyAlignment="1" applyProtection="1">
      <alignment horizontal="center" vertical="center" wrapText="1"/>
    </xf>
    <xf numFmtId="0" fontId="15" fillId="0" borderId="40" xfId="4" applyFont="1" applyBorder="1" applyAlignment="1" applyProtection="1">
      <alignment horizontal="center" vertical="center" wrapText="1"/>
    </xf>
  </cellXfs>
  <cellStyles count="5">
    <cellStyle name="Calculation" xfId="1" builtinId="22"/>
    <cellStyle name="Comma" xfId="2" builtinId="3"/>
    <cellStyle name="Normal" xfId="0" builtinId="0"/>
    <cellStyle name="Percent" xfId="3" builtinId="5"/>
    <cellStyle name="Title" xfId="4" builtinId="1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0</xdr:row>
      <xdr:rowOff>238125</xdr:rowOff>
    </xdr:from>
    <xdr:to>
      <xdr:col>24</xdr:col>
      <xdr:colOff>247650</xdr:colOff>
      <xdr:row>14</xdr:row>
      <xdr:rowOff>38100</xdr:rowOff>
    </xdr:to>
    <xdr:pic>
      <xdr:nvPicPr>
        <xdr:cNvPr id="210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38125"/>
          <a:ext cx="5467350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600075</xdr:colOff>
      <xdr:row>16</xdr:row>
      <xdr:rowOff>142875</xdr:rowOff>
    </xdr:from>
    <xdr:to>
      <xdr:col>24</xdr:col>
      <xdr:colOff>533400</xdr:colOff>
      <xdr:row>30</xdr:row>
      <xdr:rowOff>123825</xdr:rowOff>
    </xdr:to>
    <xdr:pic>
      <xdr:nvPicPr>
        <xdr:cNvPr id="2109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486150"/>
          <a:ext cx="5419725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="90" zoomScaleNormal="90" workbookViewId="0">
      <selection activeCell="E31" sqref="E31:F31"/>
    </sheetView>
  </sheetViews>
  <sheetFormatPr defaultColWidth="10.7109375" defaultRowHeight="15"/>
  <cols>
    <col min="1" max="1" width="74.85546875" customWidth="1"/>
    <col min="2" max="4" width="9.7109375" customWidth="1"/>
    <col min="5" max="5" width="7.28515625" bestFit="1" customWidth="1"/>
    <col min="6" max="6" width="5.42578125" customWidth="1"/>
    <col min="7" max="7" width="8.7109375" hidden="1" customWidth="1"/>
    <col min="8" max="8" width="5.28515625" hidden="1" customWidth="1"/>
    <col min="9" max="9" width="24.5703125" hidden="1" customWidth="1"/>
    <col min="10" max="10" width="0" hidden="1" customWidth="1"/>
  </cols>
  <sheetData>
    <row r="1" spans="1:6" ht="23.25">
      <c r="A1" s="190" t="s">
        <v>323</v>
      </c>
      <c r="B1" s="191"/>
      <c r="C1" s="191"/>
      <c r="D1" s="191"/>
      <c r="E1" s="191"/>
      <c r="F1" s="192"/>
    </row>
    <row r="2" spans="1:6" ht="18">
      <c r="A2" s="193" t="s">
        <v>270</v>
      </c>
      <c r="B2" s="194"/>
      <c r="C2" s="194"/>
      <c r="D2" s="194"/>
      <c r="E2" s="194"/>
      <c r="F2" s="195"/>
    </row>
    <row r="3" spans="1:6" ht="18">
      <c r="A3" s="202" t="s">
        <v>324</v>
      </c>
      <c r="B3" s="203"/>
      <c r="C3" s="204"/>
      <c r="D3" s="205"/>
      <c r="E3" s="205"/>
      <c r="F3" s="206"/>
    </row>
    <row r="4" spans="1:6" ht="18">
      <c r="A4" s="137" t="s">
        <v>325</v>
      </c>
      <c r="B4" s="173">
        <v>5500</v>
      </c>
      <c r="C4" s="207"/>
      <c r="D4" s="208"/>
      <c r="E4" s="208"/>
      <c r="F4" s="209"/>
    </row>
    <row r="5" spans="1:6" ht="18">
      <c r="A5" s="137" t="s">
        <v>326</v>
      </c>
      <c r="B5" s="173">
        <v>2000</v>
      </c>
      <c r="C5" s="207"/>
      <c r="D5" s="208"/>
      <c r="E5" s="208"/>
      <c r="F5" s="209"/>
    </row>
    <row r="6" spans="1:6" ht="18">
      <c r="A6" s="137" t="s">
        <v>327</v>
      </c>
      <c r="B6" s="173">
        <v>640</v>
      </c>
      <c r="C6" s="210"/>
      <c r="D6" s="211"/>
      <c r="E6" s="211"/>
      <c r="F6" s="212"/>
    </row>
    <row r="7" spans="1:6" ht="6.6" customHeight="1">
      <c r="A7" s="177"/>
      <c r="B7" s="178"/>
      <c r="C7" s="178"/>
      <c r="D7" s="178"/>
      <c r="E7" s="178"/>
      <c r="F7" s="179"/>
    </row>
    <row r="8" spans="1:6" ht="18">
      <c r="A8" s="153" t="s">
        <v>333</v>
      </c>
      <c r="B8" s="164">
        <f>(B6+B5)/B4</f>
        <v>0.48</v>
      </c>
      <c r="C8" s="187" t="str">
        <f>IF(B8&gt;=0.5, "Contact the Planning Division", "OK")</f>
        <v>OK</v>
      </c>
      <c r="D8" s="188"/>
      <c r="E8" s="188"/>
      <c r="F8" s="189"/>
    </row>
    <row r="9" spans="1:6" ht="18">
      <c r="A9" s="153" t="s">
        <v>334</v>
      </c>
      <c r="B9" s="164">
        <f>B6/B4</f>
        <v>0.11636363636363636</v>
      </c>
      <c r="C9" s="187" t="str">
        <f>IF(B9&gt;=0.015,  "Continue to Step 2", "No Further Action Required")</f>
        <v>Continue to Step 2</v>
      </c>
      <c r="D9" s="188"/>
      <c r="E9" s="188"/>
      <c r="F9" s="189"/>
    </row>
    <row r="10" spans="1:6" ht="11.1" customHeight="1">
      <c r="A10" s="182"/>
      <c r="B10" s="183"/>
      <c r="C10" s="183"/>
      <c r="D10" s="183"/>
      <c r="E10" s="183"/>
      <c r="F10" s="184"/>
    </row>
    <row r="11" spans="1:6" ht="18">
      <c r="A11" s="154" t="s">
        <v>328</v>
      </c>
      <c r="B11" s="180"/>
      <c r="C11" s="180"/>
      <c r="D11" s="180"/>
      <c r="E11" s="180"/>
      <c r="F11" s="181"/>
    </row>
    <row r="12" spans="1:6" ht="18">
      <c r="A12" s="155" t="s">
        <v>261</v>
      </c>
      <c r="B12" s="148" t="s">
        <v>322</v>
      </c>
      <c r="C12" s="148" t="s">
        <v>322</v>
      </c>
      <c r="D12" s="148" t="s">
        <v>322</v>
      </c>
      <c r="E12" s="185"/>
      <c r="F12" s="186"/>
    </row>
    <row r="13" spans="1:6" ht="18">
      <c r="A13" s="196" t="s">
        <v>297</v>
      </c>
      <c r="B13" s="197"/>
      <c r="C13" s="197"/>
      <c r="D13" s="197"/>
      <c r="E13" s="197"/>
      <c r="F13" s="198"/>
    </row>
    <row r="14" spans="1:6" ht="16.5">
      <c r="A14" s="156" t="s">
        <v>292</v>
      </c>
      <c r="B14" s="139">
        <f>E14/43560</f>
        <v>1.1478420569329659E-2</v>
      </c>
      <c r="C14" s="140" t="s">
        <v>254</v>
      </c>
      <c r="D14" s="140" t="s">
        <v>255</v>
      </c>
      <c r="E14" s="141">
        <v>500</v>
      </c>
      <c r="F14" s="157" t="s">
        <v>329</v>
      </c>
    </row>
    <row r="15" spans="1:6" ht="16.5">
      <c r="A15" s="156" t="s">
        <v>293</v>
      </c>
      <c r="B15" s="139">
        <f>E15/43560</f>
        <v>2.295684113865932E-3</v>
      </c>
      <c r="C15" s="140" t="s">
        <v>254</v>
      </c>
      <c r="D15" s="140" t="s">
        <v>255</v>
      </c>
      <c r="E15" s="141">
        <v>100</v>
      </c>
      <c r="F15" s="157" t="s">
        <v>329</v>
      </c>
    </row>
    <row r="16" spans="1:6" ht="16.5">
      <c r="A16" s="156" t="s">
        <v>294</v>
      </c>
      <c r="B16" s="139">
        <f>E16/43560</f>
        <v>2.2956841138659319E-2</v>
      </c>
      <c r="C16" s="140" t="s">
        <v>254</v>
      </c>
      <c r="D16" s="140" t="s">
        <v>255</v>
      </c>
      <c r="E16" s="141">
        <v>1000</v>
      </c>
      <c r="F16" s="157" t="s">
        <v>329</v>
      </c>
    </row>
    <row r="17" spans="1:6" ht="16.5">
      <c r="A17" s="156" t="s">
        <v>305</v>
      </c>
      <c r="B17" s="139">
        <f>E17/43560</f>
        <v>4.5913682277318638E-2</v>
      </c>
      <c r="C17" s="140" t="s">
        <v>254</v>
      </c>
      <c r="D17" s="140" t="s">
        <v>255</v>
      </c>
      <c r="E17" s="141">
        <v>2000</v>
      </c>
      <c r="F17" s="157" t="s">
        <v>329</v>
      </c>
    </row>
    <row r="18" spans="1:6" ht="16.5">
      <c r="A18" s="156" t="s">
        <v>295</v>
      </c>
      <c r="B18" s="139">
        <f>E18/43560</f>
        <v>1.1478420569329659E-2</v>
      </c>
      <c r="C18" s="140" t="s">
        <v>254</v>
      </c>
      <c r="D18" s="140" t="s">
        <v>255</v>
      </c>
      <c r="E18" s="141">
        <v>500</v>
      </c>
      <c r="F18" s="157" t="s">
        <v>329</v>
      </c>
    </row>
    <row r="19" spans="1:6" ht="16.5">
      <c r="A19" s="156" t="s">
        <v>296</v>
      </c>
      <c r="B19" s="139">
        <f>SUM(B14:B18)</f>
        <v>9.4123048668503212E-2</v>
      </c>
      <c r="C19" s="140" t="s">
        <v>254</v>
      </c>
      <c r="D19" s="140" t="s">
        <v>255</v>
      </c>
      <c r="E19" s="143">
        <f>B19*43560</f>
        <v>4100</v>
      </c>
      <c r="F19" s="157" t="s">
        <v>329</v>
      </c>
    </row>
    <row r="20" spans="1:6" ht="17.25" hidden="1" thickBot="1">
      <c r="A20" s="134" t="s">
        <v>319</v>
      </c>
      <c r="B20" s="138" t="e">
        <f>ROUND((($B15/$B19)*'Avg Permeability &amp; CN Calc.'!C10)+(($B14/$B19)*98)+(($B16/$B19)*'Avg Permeability &amp; CN Calc.'!C11)+(($B17/$B19)*'Avg Permeability &amp; CN Calc.'!C12)+(($B18/$B19)*63),2)</f>
        <v>#REF!</v>
      </c>
      <c r="C20" s="138" t="e">
        <f>ROUND((($B15/$B19)*'Avg Permeability &amp; CN Calc.'!F10)+(($B14/$B19)*98)+(($B16/$B19)*'Avg Permeability &amp; CN Calc.'!F11)+(($B17/$B19)*'Avg Permeability &amp; CN Calc.'!F12)+(($B18/$B19)*63),2)</f>
        <v>#REF!</v>
      </c>
      <c r="D20" s="138" t="e">
        <f>ROUND((($B15/$B19)*'Avg Permeability &amp; CN Calc.'!I10)+(($B14/$B19)*98)+(($B16/$B19)*'Avg Permeability &amp; CN Calc.'!I11)+(($B17/$B19)*'Avg Permeability &amp; CN Calc.'!I12)+(($B18/$B19)*63),2)</f>
        <v>#REF!</v>
      </c>
      <c r="E20" s="136"/>
      <c r="F20" s="135"/>
    </row>
    <row r="21" spans="1:6" ht="16.5" hidden="1">
      <c r="A21" s="134" t="s">
        <v>318</v>
      </c>
      <c r="B21" s="199" t="e">
        <f>ROUND(AVERAGEIF(B20:D20,"&gt;0",B20:D20),2)</f>
        <v>#DIV/0!</v>
      </c>
      <c r="C21" s="200"/>
      <c r="D21" s="201"/>
      <c r="E21" s="136"/>
      <c r="F21" s="135"/>
    </row>
    <row r="22" spans="1:6" ht="16.5">
      <c r="A22" s="158" t="s">
        <v>308</v>
      </c>
      <c r="B22" s="174">
        <f>E14/E19</f>
        <v>0.12195121951219512</v>
      </c>
      <c r="C22" s="175"/>
      <c r="D22" s="176"/>
      <c r="E22" s="149"/>
      <c r="F22" s="150"/>
    </row>
    <row r="23" spans="1:6" ht="18">
      <c r="A23" s="196" t="s">
        <v>298</v>
      </c>
      <c r="B23" s="197"/>
      <c r="C23" s="197"/>
      <c r="D23" s="197"/>
      <c r="E23" s="197"/>
      <c r="F23" s="198"/>
    </row>
    <row r="24" spans="1:6" ht="16.5">
      <c r="A24" s="156" t="s">
        <v>302</v>
      </c>
      <c r="B24" s="139">
        <f>E24/43560</f>
        <v>2.2956841138659319E-2</v>
      </c>
      <c r="C24" s="140" t="s">
        <v>254</v>
      </c>
      <c r="D24" s="144" t="s">
        <v>255</v>
      </c>
      <c r="E24" s="141">
        <v>1000</v>
      </c>
      <c r="F24" s="157" t="s">
        <v>329</v>
      </c>
    </row>
    <row r="25" spans="1:6" ht="16.5">
      <c r="A25" s="156" t="s">
        <v>303</v>
      </c>
      <c r="B25" s="139">
        <f>E25/43560</f>
        <v>1.147842056932966E-3</v>
      </c>
      <c r="C25" s="140" t="s">
        <v>254</v>
      </c>
      <c r="D25" s="144" t="s">
        <v>255</v>
      </c>
      <c r="E25" s="141">
        <v>50</v>
      </c>
      <c r="F25" s="157" t="s">
        <v>329</v>
      </c>
    </row>
    <row r="26" spans="1:6" ht="16.5">
      <c r="A26" s="156" t="s">
        <v>304</v>
      </c>
      <c r="B26" s="139">
        <f>E26/43560</f>
        <v>1.2626262626262626E-2</v>
      </c>
      <c r="C26" s="140" t="s">
        <v>254</v>
      </c>
      <c r="D26" s="144" t="s">
        <v>255</v>
      </c>
      <c r="E26" s="141">
        <v>550</v>
      </c>
      <c r="F26" s="157" t="s">
        <v>329</v>
      </c>
    </row>
    <row r="27" spans="1:6" ht="16.5">
      <c r="A27" s="159" t="s">
        <v>306</v>
      </c>
      <c r="B27" s="139">
        <f>E27/43560</f>
        <v>4.5913682277318638E-2</v>
      </c>
      <c r="C27" s="140" t="s">
        <v>254</v>
      </c>
      <c r="D27" s="144" t="s">
        <v>255</v>
      </c>
      <c r="E27" s="141">
        <v>2000</v>
      </c>
      <c r="F27" s="157" t="s">
        <v>329</v>
      </c>
    </row>
    <row r="28" spans="1:6" ht="16.5">
      <c r="A28" s="156" t="s">
        <v>307</v>
      </c>
      <c r="B28" s="139">
        <f>E28/43560</f>
        <v>1.1478420569329659E-2</v>
      </c>
      <c r="C28" s="140" t="s">
        <v>254</v>
      </c>
      <c r="D28" s="144" t="s">
        <v>255</v>
      </c>
      <c r="E28" s="141">
        <v>500</v>
      </c>
      <c r="F28" s="157" t="s">
        <v>329</v>
      </c>
    </row>
    <row r="29" spans="1:6" ht="16.5">
      <c r="A29" s="134" t="s">
        <v>296</v>
      </c>
      <c r="B29" s="145">
        <f>SUM(B24:B28)</f>
        <v>9.4123048668503212E-2</v>
      </c>
      <c r="C29" s="145" t="s">
        <v>254</v>
      </c>
      <c r="D29" s="146" t="s">
        <v>255</v>
      </c>
      <c r="E29" s="145">
        <f>B19</f>
        <v>9.4123048668503212E-2</v>
      </c>
      <c r="F29" s="160" t="s">
        <v>299</v>
      </c>
    </row>
    <row r="30" spans="1:6" ht="16.5" hidden="1">
      <c r="A30" s="134"/>
      <c r="B30" s="216" t="s">
        <v>300</v>
      </c>
      <c r="C30" s="216"/>
      <c r="D30" s="216"/>
      <c r="E30" s="216"/>
      <c r="F30" s="217"/>
    </row>
    <row r="31" spans="1:6" ht="16.5">
      <c r="A31" s="134"/>
      <c r="B31" s="218" t="s">
        <v>301</v>
      </c>
      <c r="C31" s="218"/>
      <c r="D31" s="218"/>
      <c r="E31" s="224" t="str">
        <f>IF(B29=E29,"YES!","ERROR")</f>
        <v>YES!</v>
      </c>
      <c r="F31" s="225"/>
    </row>
    <row r="32" spans="1:6" ht="16.5" hidden="1">
      <c r="A32" s="134" t="s">
        <v>320</v>
      </c>
      <c r="B32" s="147" t="e">
        <f>ROUND((($B25/$B29)*'Avg Permeability &amp; CN Calc.'!C10)+(($B24/$B29)*98)+(($B26/$B29)*'Avg Permeability &amp; CN Calc.'!C11)+(($B27/$B29)*'Avg Permeability &amp; CN Calc.'!C12)+(($B28/$B29)*63),2)</f>
        <v>#REF!</v>
      </c>
      <c r="C32" s="147" t="e">
        <f>ROUND((($B25/$B29)*'Avg Permeability &amp; CN Calc.'!F10)+(($B24/$B29)*98)+(($B26/$B29)*'Avg Permeability &amp; CN Calc.'!F11)+(($B27/$B29)*'Avg Permeability &amp; CN Calc.'!F12)+(($B28/$B29)*63),2)</f>
        <v>#REF!</v>
      </c>
      <c r="D32" s="147" t="e">
        <f>ROUND((($B25/$B29)*'Avg Permeability &amp; CN Calc.'!I10)+(($B24/$B29)*98)+(($B26/$B29)*'Avg Permeability &amp; CN Calc.'!I11)+(($B27/$B29)*'Avg Permeability &amp; CN Calc.'!I12)+(($B28/$B29)*63),2)</f>
        <v>#REF!</v>
      </c>
      <c r="E32" s="142"/>
      <c r="F32" s="157"/>
    </row>
    <row r="33" spans="1:6" ht="16.5" hidden="1">
      <c r="A33" s="134" t="s">
        <v>321</v>
      </c>
      <c r="B33" s="219" t="e">
        <f>ROUND(AVERAGEIF(B32:D32,"&gt;0",B32:D32),2)</f>
        <v>#DIV/0!</v>
      </c>
      <c r="C33" s="219"/>
      <c r="D33" s="219"/>
      <c r="E33" s="142"/>
      <c r="F33" s="157"/>
    </row>
    <row r="34" spans="1:6" ht="16.5">
      <c r="A34" s="158" t="s">
        <v>309</v>
      </c>
      <c r="B34" s="220">
        <f>B24/B29</f>
        <v>0.24390243902439024</v>
      </c>
      <c r="C34" s="220"/>
      <c r="D34" s="220"/>
      <c r="E34" s="230"/>
      <c r="F34" s="231"/>
    </row>
    <row r="35" spans="1:6" ht="16.5" hidden="1" thickBot="1">
      <c r="A35" s="221" t="s">
        <v>269</v>
      </c>
      <c r="B35" s="222"/>
      <c r="C35" s="222"/>
      <c r="D35" s="222"/>
      <c r="E35" s="222"/>
      <c r="F35" s="223"/>
    </row>
    <row r="36" spans="1:6" ht="15.75" hidden="1">
      <c r="A36" s="40" t="s">
        <v>256</v>
      </c>
      <c r="B36" s="42" t="e">
        <f>((B37-0.2*B39)^2)/(B37+0.8*B39)</f>
        <v>#DIV/0!</v>
      </c>
      <c r="C36" s="41"/>
      <c r="D36" s="41"/>
      <c r="E36" s="41"/>
      <c r="F36" s="43"/>
    </row>
    <row r="37" spans="1:6" ht="15.75" hidden="1">
      <c r="A37" s="40" t="s">
        <v>268</v>
      </c>
      <c r="B37" s="41">
        <v>7.58</v>
      </c>
      <c r="C37" s="41"/>
      <c r="D37" s="41"/>
      <c r="E37" s="41"/>
      <c r="F37" s="43"/>
    </row>
    <row r="38" spans="1:6" ht="15.75" hidden="1">
      <c r="A38" s="40" t="s">
        <v>257</v>
      </c>
      <c r="B38" s="125" t="e">
        <f>B21</f>
        <v>#DIV/0!</v>
      </c>
      <c r="C38" s="41"/>
      <c r="D38" s="41"/>
      <c r="E38" s="41"/>
      <c r="F38" s="43"/>
    </row>
    <row r="39" spans="1:6" ht="15.75" hidden="1">
      <c r="A39" s="40" t="s">
        <v>258</v>
      </c>
      <c r="B39" s="42" t="e">
        <f>(1000/B38)-10</f>
        <v>#DIV/0!</v>
      </c>
      <c r="C39" s="41"/>
      <c r="D39" s="41"/>
      <c r="E39" s="41"/>
      <c r="F39" s="43"/>
    </row>
    <row r="40" spans="1:6" ht="16.5" hidden="1" thickBot="1">
      <c r="A40" s="123" t="s">
        <v>272</v>
      </c>
      <c r="B40" s="124" t="e">
        <f>(B19*43560)*(B36/12)</f>
        <v>#DIV/0!</v>
      </c>
      <c r="C40" s="46"/>
      <c r="D40" s="46"/>
      <c r="E40" s="46"/>
      <c r="F40" s="47"/>
    </row>
    <row r="41" spans="1:6" ht="16.5" hidden="1" thickBot="1">
      <c r="A41" s="232" t="s">
        <v>269</v>
      </c>
      <c r="B41" s="233"/>
      <c r="C41" s="233"/>
      <c r="D41" s="233"/>
      <c r="E41" s="233"/>
      <c r="F41" s="234"/>
    </row>
    <row r="42" spans="1:6" ht="15.75" hidden="1">
      <c r="A42" s="40" t="s">
        <v>256</v>
      </c>
      <c r="B42" s="42" t="e">
        <f>((B43-0.2*B45)^2)/(B43+0.8*B45)</f>
        <v>#DIV/0!</v>
      </c>
      <c r="C42" s="41"/>
      <c r="D42" s="41"/>
      <c r="E42" s="41"/>
      <c r="F42" s="43"/>
    </row>
    <row r="43" spans="1:6" ht="15.75" hidden="1">
      <c r="A43" s="40" t="s">
        <v>268</v>
      </c>
      <c r="B43" s="41">
        <v>7.58</v>
      </c>
      <c r="C43" s="41"/>
      <c r="D43" s="41"/>
      <c r="E43" s="41"/>
      <c r="F43" s="43"/>
    </row>
    <row r="44" spans="1:6" ht="15.75" hidden="1">
      <c r="A44" s="40" t="s">
        <v>257</v>
      </c>
      <c r="B44" s="126" t="e">
        <f>B33</f>
        <v>#DIV/0!</v>
      </c>
      <c r="C44" s="41"/>
      <c r="D44" s="41"/>
      <c r="E44" s="41"/>
      <c r="F44" s="43"/>
    </row>
    <row r="45" spans="1:6" ht="15.75" hidden="1">
      <c r="A45" s="40" t="s">
        <v>258</v>
      </c>
      <c r="B45" s="42" t="e">
        <f>(1000/B44)-10</f>
        <v>#DIV/0!</v>
      </c>
      <c r="C45" s="41"/>
      <c r="D45" s="41"/>
      <c r="E45" s="41"/>
      <c r="F45" s="43"/>
    </row>
    <row r="46" spans="1:6" ht="16.5" hidden="1" thickBot="1">
      <c r="A46" s="123" t="s">
        <v>273</v>
      </c>
      <c r="B46" s="124" t="e">
        <f>(B29*43560)*(B42/12)</f>
        <v>#DIV/0!</v>
      </c>
      <c r="C46" s="46"/>
      <c r="D46" s="46"/>
      <c r="E46" s="46"/>
      <c r="F46" s="47"/>
    </row>
    <row r="47" spans="1:6" ht="16.5" hidden="1" thickBot="1">
      <c r="A47" s="88" t="s">
        <v>274</v>
      </c>
      <c r="B47" s="89" t="e">
        <f>B46-B40</f>
        <v>#DIV/0!</v>
      </c>
      <c r="C47" s="46"/>
      <c r="D47" s="46"/>
      <c r="E47" s="46"/>
      <c r="F47" s="47"/>
    </row>
    <row r="48" spans="1:6" hidden="1">
      <c r="A48" s="161"/>
      <c r="B48" s="96"/>
      <c r="C48" s="96"/>
      <c r="D48" s="96"/>
      <c r="E48" s="96"/>
      <c r="F48" s="3"/>
    </row>
    <row r="49" spans="1:9" ht="16.5" hidden="1" thickBot="1">
      <c r="A49" s="232" t="s">
        <v>271</v>
      </c>
      <c r="B49" s="233"/>
      <c r="C49" s="233"/>
      <c r="D49" s="234"/>
      <c r="E49" s="96"/>
      <c r="F49" s="3"/>
    </row>
    <row r="50" spans="1:9" ht="18" hidden="1">
      <c r="A50" s="127" t="s">
        <v>277</v>
      </c>
      <c r="B50" s="238">
        <v>24</v>
      </c>
      <c r="C50" s="238"/>
      <c r="D50" s="239"/>
      <c r="E50" s="96"/>
      <c r="F50" s="3"/>
    </row>
    <row r="51" spans="1:9" ht="16.5" hidden="1" thickBot="1">
      <c r="A51" s="90" t="s">
        <v>261</v>
      </c>
      <c r="B51" s="131" t="str">
        <f>B12</f>
        <v>325b</v>
      </c>
      <c r="C51" s="131" t="str">
        <f>IF(C12&gt;0,C12,"#N/A")</f>
        <v>325b</v>
      </c>
      <c r="D51" s="131" t="str">
        <f>IF(D12&gt;0,D12,"#N/A")</f>
        <v>325b</v>
      </c>
      <c r="E51" s="96"/>
      <c r="F51" s="3"/>
    </row>
    <row r="52" spans="1:9" ht="15.75" hidden="1">
      <c r="A52" s="44" t="s">
        <v>259</v>
      </c>
      <c r="B52" s="129" t="e">
        <f>'Avg Permeability &amp; CN Calc.'!C5</f>
        <v>#REF!</v>
      </c>
      <c r="C52" s="130" t="e">
        <f>'Avg Permeability &amp; CN Calc.'!F5</f>
        <v>#REF!</v>
      </c>
      <c r="D52" s="132" t="e">
        <f>'Avg Permeability &amp; CN Calc.'!I5</f>
        <v>#REF!</v>
      </c>
      <c r="E52" s="96"/>
      <c r="F52" s="3"/>
    </row>
    <row r="53" spans="1:9" ht="15.75" hidden="1">
      <c r="A53" s="44" t="s">
        <v>262</v>
      </c>
      <c r="B53" s="48" t="e">
        <f>'Avg Permeability &amp; CN Calc.'!F7</f>
        <v>#DIV/0!</v>
      </c>
      <c r="C53" s="49"/>
      <c r="D53" s="50"/>
      <c r="E53" s="96"/>
      <c r="F53" s="3"/>
    </row>
    <row r="54" spans="1:9" s="95" customFormat="1" ht="16.5" hidden="1" thickBot="1">
      <c r="A54" s="93" t="s">
        <v>275</v>
      </c>
      <c r="B54" s="91" t="e">
        <f>ROUND(((B53/12)*2*24),4)</f>
        <v>#DIV/0!</v>
      </c>
      <c r="C54" s="92" t="s">
        <v>291</v>
      </c>
      <c r="D54" s="94"/>
      <c r="E54" s="162"/>
      <c r="F54" s="163"/>
      <c r="G54"/>
      <c r="H54"/>
      <c r="I54"/>
    </row>
    <row r="55" spans="1:9" ht="15.75" hidden="1">
      <c r="A55" s="65" t="s">
        <v>276</v>
      </c>
      <c r="B55" s="128" t="e">
        <f>Final!B47</f>
        <v>#DIV/0!</v>
      </c>
      <c r="C55" s="52" t="s">
        <v>260</v>
      </c>
      <c r="D55" s="43"/>
      <c r="E55" s="96"/>
      <c r="F55" s="3"/>
    </row>
    <row r="56" spans="1:9" ht="15.75" hidden="1">
      <c r="A56" s="45" t="s">
        <v>279</v>
      </c>
      <c r="B56" s="51">
        <f>ROUNDUP((((B50-6-6.42)/12)*2 *0.4)+1.07,10)</f>
        <v>1.8420000000000001</v>
      </c>
      <c r="C56" s="52" t="s">
        <v>260</v>
      </c>
      <c r="D56" s="43"/>
      <c r="E56" s="96"/>
      <c r="F56" s="3"/>
    </row>
    <row r="57" spans="1:9" ht="15.75" hidden="1">
      <c r="A57" s="165" t="s">
        <v>278</v>
      </c>
      <c r="B57" s="166" t="e">
        <f>B$54</f>
        <v>#DIV/0!</v>
      </c>
      <c r="C57" s="167" t="s">
        <v>260</v>
      </c>
      <c r="D57" s="43"/>
      <c r="E57" s="96"/>
      <c r="F57" s="3"/>
    </row>
    <row r="58" spans="1:9" ht="18">
      <c r="A58" s="153" t="s">
        <v>330</v>
      </c>
      <c r="B58" s="168" t="e">
        <f>ROUNDUP(B55/(B56+B54),0)</f>
        <v>#DIV/0!</v>
      </c>
      <c r="C58" s="169" t="s">
        <v>332</v>
      </c>
      <c r="D58" s="151" t="e">
        <f>IF(B58&lt;=50,"OK","Too Long")</f>
        <v>#DIV/0!</v>
      </c>
      <c r="E58" s="226"/>
      <c r="F58" s="227"/>
    </row>
    <row r="59" spans="1:9" ht="18.75" thickBot="1">
      <c r="A59" s="170" t="s">
        <v>331</v>
      </c>
      <c r="B59" s="171" t="e">
        <f>G65</f>
        <v>#DIV/0!</v>
      </c>
      <c r="C59" s="172" t="s">
        <v>283</v>
      </c>
      <c r="D59" s="152" t="e">
        <f>IF(B59&lt;3, "OK", "Too Long")</f>
        <v>#DIV/0!</v>
      </c>
      <c r="E59" s="228"/>
      <c r="F59" s="229"/>
    </row>
    <row r="60" spans="1:9" ht="15.75" thickBot="1">
      <c r="G60" s="235" t="s">
        <v>285</v>
      </c>
      <c r="H60" s="236"/>
      <c r="I60" s="237"/>
    </row>
    <row r="61" spans="1:9" ht="15.75">
      <c r="G61" s="55" t="e">
        <f>Final!B54*Final!B58</f>
        <v>#DIV/0!</v>
      </c>
      <c r="H61" s="56" t="s">
        <v>260</v>
      </c>
      <c r="I61" s="57" t="s">
        <v>281</v>
      </c>
    </row>
    <row r="62" spans="1:9" ht="16.5" thickBot="1">
      <c r="G62" s="58" t="e">
        <f>Final!B56*Final!B58</f>
        <v>#DIV/0!</v>
      </c>
      <c r="H62" s="54" t="s">
        <v>260</v>
      </c>
      <c r="I62" s="59" t="s">
        <v>280</v>
      </c>
    </row>
    <row r="63" spans="1:9" ht="16.5" thickTop="1">
      <c r="G63" s="60" t="e">
        <f>SUM(G61:G62)</f>
        <v>#DIV/0!</v>
      </c>
      <c r="H63" s="53" t="s">
        <v>260</v>
      </c>
      <c r="I63" s="61" t="s">
        <v>282</v>
      </c>
    </row>
    <row r="64" spans="1:9" ht="15.75" thickBot="1">
      <c r="G64" s="213" t="e">
        <f>IF(G63&gt;=Final!B55,"Sufficient Volume","Insufficient Volume")</f>
        <v>#DIV/0!</v>
      </c>
      <c r="H64" s="214"/>
      <c r="I64" s="215"/>
    </row>
    <row r="65" spans="7:9" ht="15.75">
      <c r="G65" s="63" t="e">
        <f>G63/G61</f>
        <v>#DIV/0!</v>
      </c>
      <c r="H65" s="56" t="s">
        <v>283</v>
      </c>
      <c r="I65" s="64" t="s">
        <v>284</v>
      </c>
    </row>
    <row r="66" spans="7:9" ht="15.75" thickBot="1">
      <c r="G66" s="213" t="e">
        <f>IF(G65&lt;14,"OK","TOO LONG")</f>
        <v>#DIV/0!</v>
      </c>
      <c r="H66" s="214"/>
      <c r="I66" s="215"/>
    </row>
    <row r="81" spans="2:2">
      <c r="B81" s="4"/>
    </row>
    <row r="82" spans="2:2">
      <c r="B82" s="4"/>
    </row>
  </sheetData>
  <sheetProtection password="DDCA" sheet="1" objects="1" scenarios="1"/>
  <mergeCells count="28">
    <mergeCell ref="G66:I66"/>
    <mergeCell ref="A23:F23"/>
    <mergeCell ref="B30:F30"/>
    <mergeCell ref="B31:D31"/>
    <mergeCell ref="B33:D33"/>
    <mergeCell ref="B34:D34"/>
    <mergeCell ref="A35:F35"/>
    <mergeCell ref="E31:F31"/>
    <mergeCell ref="E58:F59"/>
    <mergeCell ref="E34:F34"/>
    <mergeCell ref="A41:F41"/>
    <mergeCell ref="A49:D49"/>
    <mergeCell ref="G60:I60"/>
    <mergeCell ref="B50:D50"/>
    <mergeCell ref="G64:I64"/>
    <mergeCell ref="A1:F1"/>
    <mergeCell ref="A2:F2"/>
    <mergeCell ref="A13:F13"/>
    <mergeCell ref="B21:D21"/>
    <mergeCell ref="A3:B3"/>
    <mergeCell ref="C3:F6"/>
    <mergeCell ref="B22:D22"/>
    <mergeCell ref="A7:F7"/>
    <mergeCell ref="B11:F11"/>
    <mergeCell ref="A10:F10"/>
    <mergeCell ref="E12:F12"/>
    <mergeCell ref="C8:F8"/>
    <mergeCell ref="C9:F9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L35"/>
  <sheetViews>
    <sheetView zoomScale="80" zoomScaleNormal="80" workbookViewId="0"/>
  </sheetViews>
  <sheetFormatPr defaultColWidth="9.140625" defaultRowHeight="15"/>
  <cols>
    <col min="1" max="1" width="14" style="1" bestFit="1" customWidth="1"/>
    <col min="2" max="2" width="30.28515625" style="1" bestFit="1" customWidth="1"/>
    <col min="3" max="3" width="17.5703125" style="1" bestFit="1" customWidth="1"/>
    <col min="4" max="4" width="9.140625" style="1"/>
    <col min="5" max="5" width="39.5703125" style="1" customWidth="1"/>
    <col min="6" max="6" width="17.5703125" style="1" bestFit="1" customWidth="1"/>
    <col min="7" max="7" width="9.140625" style="1"/>
    <col min="8" max="8" width="30.28515625" style="1" bestFit="1" customWidth="1"/>
    <col min="9" max="9" width="19" style="1" customWidth="1"/>
    <col min="10" max="12" width="9.140625" style="1"/>
    <col min="13" max="13" width="14.85546875" style="1" bestFit="1" customWidth="1"/>
    <col min="14" max="37" width="9.140625" style="1"/>
    <col min="38" max="38" width="9.42578125" style="1" bestFit="1" customWidth="1"/>
    <col min="39" max="16384" width="9.140625" style="1"/>
  </cols>
  <sheetData>
    <row r="2" spans="1:13" ht="15.75" thickBot="1"/>
    <row r="3" spans="1:13" ht="30.75" customHeight="1">
      <c r="B3" s="68" t="s">
        <v>252</v>
      </c>
      <c r="C3" s="69" t="s">
        <v>0</v>
      </c>
      <c r="D3" s="70"/>
      <c r="E3" s="69" t="s">
        <v>252</v>
      </c>
      <c r="F3" s="69" t="s">
        <v>0</v>
      </c>
      <c r="G3" s="70"/>
      <c r="H3" s="69" t="s">
        <v>252</v>
      </c>
      <c r="I3" s="71" t="s">
        <v>0</v>
      </c>
    </row>
    <row r="4" spans="1:13" ht="29.25" customHeight="1">
      <c r="B4" s="73"/>
      <c r="C4" s="74" t="e">
        <f>#REF!</f>
        <v>#REF!</v>
      </c>
      <c r="D4" s="72"/>
      <c r="E4" s="75"/>
      <c r="F4" s="74" t="e">
        <f>#REF!</f>
        <v>#REF!</v>
      </c>
      <c r="G4" s="72"/>
      <c r="H4" s="75"/>
      <c r="I4" s="76" t="e">
        <f>#REF!</f>
        <v>#REF!</v>
      </c>
      <c r="M4" s="2" t="e">
        <f>C5</f>
        <v>#REF!</v>
      </c>
    </row>
    <row r="5" spans="1:13" ht="31.5" customHeight="1">
      <c r="B5" s="73" t="s">
        <v>245</v>
      </c>
      <c r="C5" s="77" t="e">
        <f>VLOOKUP(C4,'Soil Classification'!B3:G64,6,FALSE)</f>
        <v>#REF!</v>
      </c>
      <c r="D5" s="72"/>
      <c r="E5" s="75" t="s">
        <v>245</v>
      </c>
      <c r="F5" s="77" t="e">
        <f>VLOOKUP(F4,'Soil Classification'!B3:G64,6,FALSE)</f>
        <v>#REF!</v>
      </c>
      <c r="G5" s="72"/>
      <c r="H5" s="75" t="s">
        <v>245</v>
      </c>
      <c r="I5" s="78" t="e">
        <f>VLOOKUP(I4,'Soil Classification'!B3:G64,6,FALSE)</f>
        <v>#REF!</v>
      </c>
      <c r="M5" s="2" t="e">
        <f>F5</f>
        <v>#REF!</v>
      </c>
    </row>
    <row r="6" spans="1:13" ht="15.75" thickBot="1">
      <c r="B6" s="79"/>
      <c r="C6" s="72"/>
      <c r="D6" s="72"/>
      <c r="E6" s="72"/>
      <c r="F6" s="72"/>
      <c r="G6" s="72"/>
      <c r="H6" s="72"/>
      <c r="I6" s="80"/>
      <c r="M6" s="2" t="e">
        <f>I5</f>
        <v>#REF!</v>
      </c>
    </row>
    <row r="7" spans="1:13" ht="16.5" thickBot="1">
      <c r="B7" s="81"/>
      <c r="C7" s="82"/>
      <c r="D7" s="82"/>
      <c r="E7" s="84" t="s">
        <v>290</v>
      </c>
      <c r="F7" s="85" t="e">
        <f>AVERAGEIF(M4:M6,"&gt;0",M4:M6)</f>
        <v>#DIV/0!</v>
      </c>
      <c r="G7" s="82"/>
      <c r="H7" s="82"/>
      <c r="I7" s="83"/>
    </row>
    <row r="9" spans="1:13">
      <c r="A9" s="1" t="s">
        <v>316</v>
      </c>
      <c r="B9" s="75" t="s">
        <v>252</v>
      </c>
      <c r="C9" s="122" t="s">
        <v>257</v>
      </c>
      <c r="D9" s="72"/>
      <c r="E9" s="75" t="s">
        <v>252</v>
      </c>
      <c r="F9" s="122" t="s">
        <v>257</v>
      </c>
      <c r="G9" s="72"/>
      <c r="H9" s="75" t="s">
        <v>252</v>
      </c>
      <c r="I9" s="122" t="s">
        <v>257</v>
      </c>
    </row>
    <row r="10" spans="1:13">
      <c r="A10" s="1" t="s">
        <v>315</v>
      </c>
      <c r="B10" s="122" t="e">
        <f>C4</f>
        <v>#REF!</v>
      </c>
      <c r="C10" s="122" t="e">
        <f>VLOOKUP(B10,'Soils Types'!$B9:$H68,7,FALSE)</f>
        <v>#REF!</v>
      </c>
      <c r="D10" s="72"/>
      <c r="E10" s="122" t="e">
        <f>F4</f>
        <v>#REF!</v>
      </c>
      <c r="F10" s="122" t="e">
        <f>VLOOKUP(E10,'Soils Types'!$B9:$H68,7,FALSE)</f>
        <v>#REF!</v>
      </c>
      <c r="G10" s="72"/>
      <c r="H10" s="122" t="e">
        <f>I4</f>
        <v>#REF!</v>
      </c>
      <c r="I10" s="122" t="e">
        <f>VLOOKUP(H10,'Soils Types'!$B9:$H68,7,FALSE)</f>
        <v>#REF!</v>
      </c>
      <c r="M10" s="1" t="e">
        <f>C10</f>
        <v>#REF!</v>
      </c>
    </row>
    <row r="11" spans="1:13">
      <c r="A11" s="1" t="s">
        <v>310</v>
      </c>
      <c r="B11" s="122" t="e">
        <f>C4</f>
        <v>#REF!</v>
      </c>
      <c r="C11" s="122" t="e">
        <f>VLOOKUP(B11,'Soils Types'!$B9:$K68,10,FALSE)</f>
        <v>#REF!</v>
      </c>
      <c r="D11" s="72"/>
      <c r="E11" s="122" t="e">
        <f>F4</f>
        <v>#REF!</v>
      </c>
      <c r="F11" s="122" t="e">
        <f>VLOOKUP(E11,'Soils Types'!$B9:$K68,10,FALSE)</f>
        <v>#REF!</v>
      </c>
      <c r="G11" s="72"/>
      <c r="H11" s="122" t="e">
        <f>I4</f>
        <v>#REF!</v>
      </c>
      <c r="I11" s="122" t="e">
        <f>VLOOKUP(H11,'Soils Types'!$B9:$K68,10,FALSE)</f>
        <v>#REF!</v>
      </c>
      <c r="M11" s="1" t="e">
        <f>F10</f>
        <v>#REF!</v>
      </c>
    </row>
    <row r="12" spans="1:13">
      <c r="A12" s="1" t="s">
        <v>317</v>
      </c>
      <c r="B12" s="122" t="e">
        <f>C4</f>
        <v>#REF!</v>
      </c>
      <c r="C12" s="122" t="e">
        <f>VLOOKUP(B12,'Soils Types'!$B9:$N68,13,FALSE)</f>
        <v>#REF!</v>
      </c>
      <c r="D12" s="72"/>
      <c r="E12" s="122" t="e">
        <f>F4</f>
        <v>#REF!</v>
      </c>
      <c r="F12" s="122" t="e">
        <f>VLOOKUP(E12,'Soils Types'!$B9:$N68,13,FALSE)</f>
        <v>#REF!</v>
      </c>
      <c r="G12" s="72"/>
      <c r="H12" s="122" t="e">
        <f>I4</f>
        <v>#REF!</v>
      </c>
      <c r="I12" s="122" t="e">
        <f>VLOOKUP(H12,'Soils Types'!$B9:$N68,13,FALSE)</f>
        <v>#REF!</v>
      </c>
    </row>
    <row r="13" spans="1:13">
      <c r="B13" s="122"/>
      <c r="C13" s="122"/>
      <c r="D13" s="72"/>
      <c r="E13" s="122"/>
      <c r="F13" s="122"/>
      <c r="G13" s="72"/>
      <c r="H13" s="122"/>
      <c r="I13" s="122"/>
    </row>
    <row r="14" spans="1:13" ht="15.75" thickBot="1">
      <c r="B14" s="122"/>
      <c r="C14" s="122"/>
      <c r="E14" s="122"/>
      <c r="F14" s="122"/>
      <c r="H14" s="122"/>
      <c r="I14" s="122"/>
    </row>
    <row r="15" spans="1:13" ht="16.5" thickBot="1">
      <c r="B15" s="122"/>
      <c r="C15" s="122"/>
      <c r="E15" s="86" t="s">
        <v>289</v>
      </c>
      <c r="F15" s="87" t="e">
        <f>ROUND(AVERAGEIF(M10:M27,"&gt;0",M10:M27),0)</f>
        <v>#DIV/0!</v>
      </c>
      <c r="H15" s="122"/>
      <c r="I15" s="122"/>
    </row>
    <row r="16" spans="1:13" ht="15.75">
      <c r="B16" s="122"/>
      <c r="C16" s="122"/>
      <c r="E16" s="133"/>
      <c r="F16" s="122"/>
      <c r="H16" s="122"/>
      <c r="I16" s="122"/>
    </row>
    <row r="17" spans="2:38">
      <c r="B17" s="122"/>
      <c r="C17" s="122"/>
      <c r="E17" s="122"/>
      <c r="F17" s="122"/>
      <c r="H17" s="122"/>
      <c r="I17" s="122"/>
    </row>
    <row r="18" spans="2:38">
      <c r="B18" s="122"/>
      <c r="C18" s="122"/>
      <c r="E18" s="122"/>
      <c r="F18" s="122"/>
      <c r="H18" s="122"/>
      <c r="I18" s="122"/>
    </row>
    <row r="19" spans="2:38">
      <c r="B19" s="122"/>
      <c r="C19" s="122"/>
      <c r="E19" s="122"/>
      <c r="F19" s="122"/>
      <c r="H19" s="122"/>
      <c r="I19" s="122"/>
    </row>
    <row r="20" spans="2:38">
      <c r="B20" s="122"/>
      <c r="C20" s="122"/>
      <c r="E20" s="122"/>
      <c r="F20" s="122"/>
      <c r="H20" s="122"/>
      <c r="I20" s="122"/>
    </row>
    <row r="21" spans="2:38">
      <c r="B21" s="122"/>
      <c r="C21" s="122"/>
      <c r="E21" s="122"/>
      <c r="F21" s="122"/>
      <c r="H21" s="122"/>
      <c r="I21" s="122"/>
    </row>
    <row r="22" spans="2:38">
      <c r="B22" s="122"/>
      <c r="C22" s="122"/>
      <c r="E22" s="122"/>
      <c r="F22" s="122"/>
      <c r="H22" s="122"/>
      <c r="I22" s="122"/>
    </row>
    <row r="23" spans="2:38">
      <c r="B23" s="122"/>
      <c r="C23" s="122"/>
      <c r="E23" s="122"/>
      <c r="F23" s="122"/>
      <c r="H23" s="122"/>
      <c r="I23" s="122"/>
    </row>
    <row r="24" spans="2:38">
      <c r="B24" s="122"/>
      <c r="C24" s="122"/>
      <c r="E24" s="122"/>
      <c r="F24" s="122"/>
      <c r="H24" s="122"/>
      <c r="I24" s="122"/>
    </row>
    <row r="25" spans="2:38">
      <c r="B25" s="122"/>
      <c r="C25" s="122"/>
      <c r="E25" s="122"/>
      <c r="F25" s="122"/>
      <c r="H25" s="122"/>
      <c r="I25" s="122"/>
    </row>
    <row r="26" spans="2:38">
      <c r="F26" s="2"/>
    </row>
    <row r="27" spans="2:38">
      <c r="M27" s="1" t="e">
        <f>I10</f>
        <v>#REF!</v>
      </c>
    </row>
    <row r="29" spans="2:38">
      <c r="AL29" s="1" t="e">
        <f>LOOKUP(AL28,'Avg Permeability &amp; CN Calc.'!A3:A247,G3:G247)</f>
        <v>#N/A</v>
      </c>
    </row>
    <row r="34" spans="3:3">
      <c r="C34" s="16"/>
    </row>
    <row r="35" spans="3:3">
      <c r="C35" s="16"/>
    </row>
  </sheetData>
  <sheetProtection algorithmName="SHA-512" hashValue="KKd/gTtb6Cp4GPPbv7gjkV7IiqVKU5tmLBQk910RUVxx1gGZgPwYFbHlcpxblUUjUkrQJIQ4wPDx9toPWgtcwA==" saltValue="79W1qWKueprkBiK5Q8IDRg==" spinCount="100000" sheet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I64"/>
  <sheetViews>
    <sheetView topLeftCell="B1" zoomScaleNormal="100" workbookViewId="0">
      <pane ySplit="2" topLeftCell="A63" activePane="bottomLeft" state="frozen"/>
      <selection pane="bottomLeft" activeCell="G64" sqref="G64"/>
    </sheetView>
  </sheetViews>
  <sheetFormatPr defaultColWidth="9.140625" defaultRowHeight="15.75"/>
  <cols>
    <col min="1" max="1" width="0" style="9" hidden="1" customWidth="1"/>
    <col min="2" max="2" width="16.85546875" style="9" bestFit="1" customWidth="1"/>
    <col min="3" max="3" width="27.140625" style="5" bestFit="1" customWidth="1"/>
    <col min="4" max="4" width="6.5703125" style="9" bestFit="1" customWidth="1"/>
    <col min="5" max="5" width="87.28515625" style="9" bestFit="1" customWidth="1"/>
    <col min="6" max="6" width="29.28515625" style="5" bestFit="1" customWidth="1"/>
    <col min="7" max="7" width="28.28515625" style="12" bestFit="1" customWidth="1"/>
    <col min="8" max="8" width="5.5703125" style="11" bestFit="1" customWidth="1"/>
    <col min="9" max="10" width="11.28515625" style="9" bestFit="1" customWidth="1"/>
    <col min="11" max="12" width="13.7109375" style="9" bestFit="1" customWidth="1"/>
    <col min="13" max="13" width="11.28515625" style="9" bestFit="1" customWidth="1"/>
    <col min="14" max="17" width="13.7109375" style="9" bestFit="1" customWidth="1"/>
    <col min="18" max="20" width="12.42578125" style="9" bestFit="1" customWidth="1"/>
    <col min="21" max="21" width="13.7109375" style="9" bestFit="1" customWidth="1"/>
    <col min="22" max="22" width="11.28515625" style="9" bestFit="1" customWidth="1"/>
    <col min="23" max="32" width="13.7109375" style="9" bestFit="1" customWidth="1"/>
    <col min="33" max="33" width="2.85546875" style="9" bestFit="1" customWidth="1"/>
    <col min="34" max="34" width="10.85546875" style="9" bestFit="1" customWidth="1"/>
    <col min="35" max="35" width="10.140625" style="9" bestFit="1" customWidth="1"/>
    <col min="36" max="36" width="12" style="9" bestFit="1" customWidth="1"/>
    <col min="37" max="37" width="9.140625" style="9"/>
    <col min="38" max="38" width="27.42578125" style="9" bestFit="1" customWidth="1"/>
    <col min="39" max="39" width="10.5703125" style="9" bestFit="1" customWidth="1"/>
    <col min="40" max="40" width="9.140625" style="9"/>
    <col min="41" max="41" width="27.42578125" style="9" bestFit="1" customWidth="1"/>
    <col min="42" max="42" width="10.5703125" style="9" bestFit="1" customWidth="1"/>
    <col min="43" max="16384" width="9.140625" style="9"/>
  </cols>
  <sheetData>
    <row r="1" spans="2:35" s="6" customFormat="1">
      <c r="B1" s="240" t="s">
        <v>147</v>
      </c>
      <c r="C1" s="240" t="s">
        <v>146</v>
      </c>
      <c r="D1" s="7" t="s">
        <v>0</v>
      </c>
      <c r="E1" s="7" t="s">
        <v>1</v>
      </c>
      <c r="F1" s="97" t="s">
        <v>2</v>
      </c>
      <c r="G1" s="241" t="s">
        <v>245</v>
      </c>
      <c r="H1" s="14"/>
      <c r="I1" s="8" t="s">
        <v>30</v>
      </c>
      <c r="J1" s="8" t="s">
        <v>31</v>
      </c>
      <c r="K1" s="8" t="s">
        <v>32</v>
      </c>
      <c r="L1" s="8" t="s">
        <v>136</v>
      </c>
      <c r="M1" s="8" t="s">
        <v>33</v>
      </c>
      <c r="N1" s="8" t="s">
        <v>34</v>
      </c>
      <c r="O1" s="8" t="s">
        <v>35</v>
      </c>
      <c r="P1" s="8" t="s">
        <v>36</v>
      </c>
      <c r="Q1" s="8" t="s">
        <v>137</v>
      </c>
      <c r="R1" s="8" t="s">
        <v>37</v>
      </c>
      <c r="S1" s="8" t="s">
        <v>38</v>
      </c>
      <c r="T1" s="8" t="s">
        <v>39</v>
      </c>
      <c r="U1" s="8" t="s">
        <v>27</v>
      </c>
      <c r="V1" s="8" t="s">
        <v>26</v>
      </c>
      <c r="W1" s="8" t="s">
        <v>46</v>
      </c>
      <c r="X1" s="8" t="s">
        <v>25</v>
      </c>
      <c r="Y1" s="8" t="s">
        <v>8</v>
      </c>
      <c r="Z1" s="8" t="s">
        <v>45</v>
      </c>
      <c r="AA1" s="8" t="s">
        <v>40</v>
      </c>
      <c r="AB1" s="8" t="s">
        <v>28</v>
      </c>
      <c r="AC1" s="8" t="s">
        <v>29</v>
      </c>
      <c r="AD1" s="8" t="s">
        <v>41</v>
      </c>
      <c r="AE1" s="8" t="s">
        <v>42</v>
      </c>
      <c r="AF1" s="8" t="s">
        <v>43</v>
      </c>
      <c r="AG1" s="8" t="s">
        <v>44</v>
      </c>
      <c r="AH1" s="240" t="s">
        <v>251</v>
      </c>
      <c r="AI1" s="240"/>
    </row>
    <row r="2" spans="2:35" s="6" customFormat="1" ht="31.5">
      <c r="B2" s="240"/>
      <c r="C2" s="240"/>
      <c r="D2" s="7" t="s">
        <v>4</v>
      </c>
      <c r="E2" s="7"/>
      <c r="F2" s="97" t="s">
        <v>3</v>
      </c>
      <c r="G2" s="241"/>
      <c r="H2" s="14"/>
      <c r="I2" s="9">
        <v>24.852363000000004</v>
      </c>
      <c r="J2" s="9">
        <v>24.852363000000004</v>
      </c>
      <c r="K2" s="9">
        <v>2.4852363000000001E-3</v>
      </c>
      <c r="L2" s="9">
        <f>(J2+K2)/2</f>
        <v>12.427424118150002</v>
      </c>
      <c r="M2" s="9">
        <v>2.1653544</v>
      </c>
      <c r="N2" s="9">
        <v>2.4630906299999999E-3</v>
      </c>
      <c r="O2" s="9">
        <v>4.9704725999999996E-4</v>
      </c>
      <c r="P2" s="9">
        <v>0.275836623</v>
      </c>
      <c r="Q2" s="9">
        <f>(P2+U2)/2</f>
        <v>0.13915108712999999</v>
      </c>
      <c r="R2" s="9">
        <v>4.9261812599999999</v>
      </c>
      <c r="S2" s="9">
        <v>198.81890400000003</v>
      </c>
      <c r="T2" s="9">
        <v>1.98818904</v>
      </c>
      <c r="U2" s="9">
        <v>2.4655512600000001E-3</v>
      </c>
      <c r="V2" s="9">
        <v>2.7093996929999998E-3</v>
      </c>
      <c r="W2" s="9">
        <f>(U2+V2)/2</f>
        <v>2.5874754764999997E-3</v>
      </c>
      <c r="X2" s="9">
        <v>4.9458662999999996E-4</v>
      </c>
      <c r="Y2" s="9">
        <v>2.4852362999999995E-5</v>
      </c>
      <c r="Z2" s="9">
        <f>(Y2+X2)/2</f>
        <v>2.5971949649999997E-4</v>
      </c>
      <c r="AA2" s="9">
        <v>5.1673229999999987E-5</v>
      </c>
      <c r="AB2" s="9">
        <v>2.4655512599999994E-5</v>
      </c>
      <c r="AC2" s="9">
        <v>4.9261812599999992E-5</v>
      </c>
      <c r="AD2" s="9">
        <v>3.4793308200000003E-5</v>
      </c>
      <c r="AE2" s="9">
        <v>4.92126E-7</v>
      </c>
      <c r="AF2" s="9">
        <v>4.9458662999999993E-5</v>
      </c>
      <c r="AG2" s="9"/>
      <c r="AH2" s="97" t="s">
        <v>253</v>
      </c>
      <c r="AI2" s="10" t="s">
        <v>250</v>
      </c>
    </row>
    <row r="3" spans="2:35">
      <c r="B3" s="5" t="s">
        <v>138</v>
      </c>
      <c r="C3" s="5" t="s">
        <v>139</v>
      </c>
      <c r="D3" s="9">
        <v>30</v>
      </c>
      <c r="E3" s="5" t="s">
        <v>7</v>
      </c>
      <c r="F3" s="5" t="s">
        <v>8</v>
      </c>
      <c r="G3" s="12">
        <f>ROUND($Y$2,10)</f>
        <v>2.4852399999999999E-5</v>
      </c>
      <c r="H3" s="15"/>
    </row>
    <row r="4" spans="2:35">
      <c r="B4" s="5" t="s">
        <v>140</v>
      </c>
      <c r="C4" s="5" t="s">
        <v>141</v>
      </c>
      <c r="D4" s="9">
        <v>0</v>
      </c>
      <c r="E4" s="5" t="s">
        <v>5</v>
      </c>
      <c r="F4" s="5" t="s">
        <v>6</v>
      </c>
      <c r="G4" s="12">
        <f>ROUND($AG$2,10)</f>
        <v>0</v>
      </c>
      <c r="H4" s="15"/>
    </row>
    <row r="5" spans="2:35">
      <c r="B5" s="5" t="s">
        <v>142</v>
      </c>
      <c r="C5" s="5" t="s">
        <v>143</v>
      </c>
      <c r="D5" s="9">
        <v>0</v>
      </c>
      <c r="E5" s="5" t="s">
        <v>9</v>
      </c>
      <c r="F5" s="5" t="s">
        <v>8</v>
      </c>
      <c r="G5" s="12">
        <f>ROUND($Y$2,10)</f>
        <v>2.4852399999999999E-5</v>
      </c>
      <c r="H5" s="15"/>
    </row>
    <row r="6" spans="2:35">
      <c r="B6" s="5" t="s">
        <v>242</v>
      </c>
      <c r="C6" s="5" t="s">
        <v>201</v>
      </c>
      <c r="D6" s="9">
        <v>47</v>
      </c>
      <c r="E6" s="5" t="s">
        <v>122</v>
      </c>
      <c r="F6" s="5" t="s">
        <v>12</v>
      </c>
      <c r="G6" s="12">
        <f>ROUND(($Y$2+$Z$2)/2,10)</f>
        <v>1.4228590000000001E-4</v>
      </c>
      <c r="H6" s="15"/>
    </row>
    <row r="7" spans="2:35">
      <c r="B7" s="5" t="s">
        <v>144</v>
      </c>
      <c r="C7" s="5" t="s">
        <v>145</v>
      </c>
      <c r="D7" s="9">
        <v>52</v>
      </c>
      <c r="E7" s="5" t="s">
        <v>16</v>
      </c>
      <c r="F7" s="5" t="s">
        <v>17</v>
      </c>
      <c r="G7" s="12">
        <f>ROUND(($U$2+$W$2+$Y$2)/3,10)</f>
        <v>1.6926263999999999E-3</v>
      </c>
      <c r="H7" s="15"/>
    </row>
    <row r="8" spans="2:35">
      <c r="B8" s="5" t="s">
        <v>148</v>
      </c>
      <c r="C8" s="5" t="s">
        <v>149</v>
      </c>
      <c r="D8" s="9">
        <v>41</v>
      </c>
      <c r="E8" s="5" t="s">
        <v>10</v>
      </c>
      <c r="F8" s="5" t="s">
        <v>8</v>
      </c>
      <c r="G8" s="12">
        <f>ROUND($Y$2,10)</f>
        <v>2.4852399999999999E-5</v>
      </c>
      <c r="H8" s="15"/>
    </row>
    <row r="9" spans="2:35">
      <c r="B9" s="5" t="s">
        <v>150</v>
      </c>
      <c r="C9" s="5" t="s">
        <v>151</v>
      </c>
      <c r="D9" s="9">
        <v>53</v>
      </c>
      <c r="E9" s="5" t="s">
        <v>47</v>
      </c>
      <c r="F9" s="5" t="s">
        <v>8</v>
      </c>
      <c r="G9" s="12">
        <f>ROUND($Y$2,10)</f>
        <v>2.4852399999999999E-5</v>
      </c>
      <c r="H9" s="15"/>
      <c r="AH9" s="9" t="s">
        <v>246</v>
      </c>
      <c r="AI9" s="9">
        <v>3.5</v>
      </c>
    </row>
    <row r="10" spans="2:35">
      <c r="B10" s="5" t="s">
        <v>152</v>
      </c>
      <c r="C10" s="5" t="s">
        <v>153</v>
      </c>
      <c r="D10" s="9">
        <v>46</v>
      </c>
      <c r="E10" s="5" t="s">
        <v>49</v>
      </c>
      <c r="F10" s="5" t="s">
        <v>50</v>
      </c>
      <c r="G10" s="12">
        <f>ROUND(($W$2+$V$2+$Z$2+$Y$2)/4,10)</f>
        <v>1.3953618E-3</v>
      </c>
      <c r="H10" s="15"/>
    </row>
    <row r="11" spans="2:35">
      <c r="B11" s="5" t="s">
        <v>154</v>
      </c>
      <c r="C11" s="5" t="s">
        <v>155</v>
      </c>
      <c r="D11" s="9">
        <v>62</v>
      </c>
      <c r="E11" s="5" t="s">
        <v>53</v>
      </c>
      <c r="F11" s="5" t="s">
        <v>54</v>
      </c>
      <c r="G11" s="12">
        <f>ROUND(($V$2+$W$2+$Y$2)/3,10)</f>
        <v>1.7739092E-3</v>
      </c>
      <c r="H11" s="15"/>
    </row>
    <row r="12" spans="2:35">
      <c r="B12" s="5" t="s">
        <v>157</v>
      </c>
      <c r="C12" s="5" t="s">
        <v>156</v>
      </c>
      <c r="D12" s="9">
        <v>55</v>
      </c>
      <c r="E12" s="5" t="s">
        <v>56</v>
      </c>
      <c r="F12" s="5" t="s">
        <v>52</v>
      </c>
      <c r="G12" s="12">
        <f>ROUND(($Y$2+$V$2)/2,10)</f>
        <v>1.367126E-3</v>
      </c>
      <c r="H12" s="15"/>
    </row>
    <row r="13" spans="2:35">
      <c r="B13" s="5" t="s">
        <v>159</v>
      </c>
      <c r="C13" s="5" t="s">
        <v>158</v>
      </c>
      <c r="D13" s="9">
        <v>51</v>
      </c>
      <c r="E13" s="5" t="s">
        <v>58</v>
      </c>
      <c r="F13" s="5" t="s">
        <v>59</v>
      </c>
      <c r="G13" s="12">
        <f>ROUND(($U$2+$W$2+$V$2+$Z$2+$Y$2)/5,10)</f>
        <v>1.6093997000000001E-3</v>
      </c>
      <c r="H13" s="15"/>
    </row>
    <row r="14" spans="2:35">
      <c r="B14" s="5" t="s">
        <v>160</v>
      </c>
      <c r="C14" s="5" t="s">
        <v>161</v>
      </c>
      <c r="D14" s="9">
        <v>38</v>
      </c>
      <c r="E14" s="5" t="s">
        <v>60</v>
      </c>
      <c r="F14" s="5" t="s">
        <v>52</v>
      </c>
      <c r="G14" s="12">
        <f>ROUND(($Y$2+$V$2)/2,10)</f>
        <v>1.367126E-3</v>
      </c>
      <c r="H14" s="15"/>
    </row>
    <row r="15" spans="2:35">
      <c r="B15" s="5" t="s">
        <v>162</v>
      </c>
      <c r="C15" s="5" t="s">
        <v>163</v>
      </c>
      <c r="D15" s="9">
        <v>0</v>
      </c>
      <c r="E15" s="5" t="s">
        <v>5</v>
      </c>
      <c r="F15" s="5" t="s">
        <v>6</v>
      </c>
      <c r="G15" s="12">
        <f>ROUND($AG$2,10)</f>
        <v>0</v>
      </c>
      <c r="H15" s="15"/>
    </row>
    <row r="16" spans="2:35">
      <c r="B16" s="5" t="s">
        <v>164</v>
      </c>
      <c r="C16" s="5" t="s">
        <v>165</v>
      </c>
      <c r="D16" s="9">
        <v>41</v>
      </c>
      <c r="E16" s="5" t="s">
        <v>11</v>
      </c>
      <c r="F16" s="5" t="s">
        <v>63</v>
      </c>
      <c r="G16" s="12">
        <f>ROUND(($Y$2+$X$2+$V$2+$U$2)/4,10)</f>
        <v>1.4235974999999999E-3</v>
      </c>
      <c r="H16" s="15"/>
    </row>
    <row r="17" spans="2:8">
      <c r="B17" s="5" t="s">
        <v>166</v>
      </c>
      <c r="C17" s="5" t="s">
        <v>167</v>
      </c>
      <c r="D17" s="9">
        <v>0</v>
      </c>
      <c r="E17" s="5" t="s">
        <v>9</v>
      </c>
      <c r="F17" s="5" t="s">
        <v>8</v>
      </c>
      <c r="G17" s="12">
        <f>ROUND($Y$2,10)</f>
        <v>2.4852399999999999E-5</v>
      </c>
      <c r="H17" s="15"/>
    </row>
    <row r="18" spans="2:8">
      <c r="B18" s="5" t="s">
        <v>168</v>
      </c>
      <c r="C18" s="5" t="s">
        <v>169</v>
      </c>
      <c r="D18" s="9">
        <v>0</v>
      </c>
      <c r="E18" s="5" t="s">
        <v>10</v>
      </c>
      <c r="F18" s="5" t="s">
        <v>66</v>
      </c>
      <c r="G18" s="12">
        <f>ROUND(($AC$2+$AB$2)/2,10)</f>
        <v>3.6958700000000002E-5</v>
      </c>
      <c r="H18" s="15"/>
    </row>
    <row r="19" spans="2:8">
      <c r="B19" s="5" t="s">
        <v>170</v>
      </c>
      <c r="C19" s="5" t="s">
        <v>171</v>
      </c>
      <c r="D19" s="9">
        <v>31</v>
      </c>
      <c r="E19" s="5" t="s">
        <v>69</v>
      </c>
      <c r="F19" s="5" t="s">
        <v>70</v>
      </c>
      <c r="G19" s="12">
        <f>($J$2+$P$2+$L$2)/3</f>
        <v>12.518541247050003</v>
      </c>
      <c r="H19" s="15"/>
    </row>
    <row r="20" spans="2:8">
      <c r="B20" s="5" t="s">
        <v>172</v>
      </c>
      <c r="C20" s="5" t="s">
        <v>171</v>
      </c>
      <c r="D20" s="9">
        <v>29</v>
      </c>
      <c r="E20" s="5" t="s">
        <v>71</v>
      </c>
      <c r="F20" s="5" t="s">
        <v>72</v>
      </c>
      <c r="G20" s="12">
        <f>ROUND(($J$2+$P$2+$L$2)/3,10)</f>
        <v>12.5185412471</v>
      </c>
      <c r="H20" s="15"/>
    </row>
    <row r="21" spans="2:8">
      <c r="B21" s="5" t="s">
        <v>173</v>
      </c>
      <c r="C21" s="5" t="s">
        <v>171</v>
      </c>
      <c r="D21" s="9">
        <v>28</v>
      </c>
      <c r="E21" s="5" t="s">
        <v>71</v>
      </c>
      <c r="F21" s="5" t="s">
        <v>70</v>
      </c>
      <c r="G21" s="12">
        <f>($J$2+$P$2+$L$2)/3</f>
        <v>12.518541247050003</v>
      </c>
      <c r="H21" s="15"/>
    </row>
    <row r="22" spans="2:8">
      <c r="B22" s="5" t="s">
        <v>175</v>
      </c>
      <c r="C22" s="5" t="s">
        <v>174</v>
      </c>
      <c r="D22" s="9">
        <v>36</v>
      </c>
      <c r="E22" s="5" t="s">
        <v>74</v>
      </c>
      <c r="F22" s="5" t="s">
        <v>26</v>
      </c>
      <c r="G22" s="12">
        <f>ROUND($V$2,10)</f>
        <v>2.7093997000000002E-3</v>
      </c>
      <c r="H22" s="15"/>
    </row>
    <row r="23" spans="2:8">
      <c r="B23" s="5" t="s">
        <v>176</v>
      </c>
      <c r="C23" s="5" t="s">
        <v>177</v>
      </c>
      <c r="D23" s="9">
        <v>0</v>
      </c>
      <c r="E23" s="5" t="s">
        <v>9</v>
      </c>
      <c r="F23" s="5" t="s">
        <v>25</v>
      </c>
      <c r="G23" s="12">
        <f>ROUND($X$2,10)</f>
        <v>4.9458659999999997E-4</v>
      </c>
      <c r="H23" s="15"/>
    </row>
    <row r="24" spans="2:8">
      <c r="B24" s="5" t="s">
        <v>178</v>
      </c>
      <c r="C24" s="5" t="s">
        <v>177</v>
      </c>
      <c r="D24" s="9">
        <v>0</v>
      </c>
      <c r="E24" s="5" t="s">
        <v>9</v>
      </c>
      <c r="F24" s="5" t="s">
        <v>25</v>
      </c>
      <c r="G24" s="12">
        <f>ROUND($X$2,10)</f>
        <v>4.9458659999999997E-4</v>
      </c>
      <c r="H24" s="15"/>
    </row>
    <row r="25" spans="2:8">
      <c r="B25" s="5" t="s">
        <v>181</v>
      </c>
      <c r="C25" s="5" t="s">
        <v>180</v>
      </c>
      <c r="D25" s="9">
        <v>18</v>
      </c>
      <c r="E25" s="5" t="s">
        <v>80</v>
      </c>
      <c r="F25" s="5" t="s">
        <v>81</v>
      </c>
      <c r="G25" s="12">
        <f t="shared" ref="G25:G30" si="0">ROUND(($J$2+$L$2+$P$2+$Q$2)/4,10)</f>
        <v>9.4236937071</v>
      </c>
      <c r="H25" s="15"/>
    </row>
    <row r="26" spans="2:8">
      <c r="B26" s="5" t="s">
        <v>182</v>
      </c>
      <c r="C26" s="5" t="s">
        <v>180</v>
      </c>
      <c r="D26" s="9">
        <v>18</v>
      </c>
      <c r="E26" s="5" t="s">
        <v>80</v>
      </c>
      <c r="F26" s="5" t="s">
        <v>81</v>
      </c>
      <c r="G26" s="12">
        <f t="shared" si="0"/>
        <v>9.4236937071</v>
      </c>
      <c r="H26" s="15"/>
    </row>
    <row r="27" spans="2:8">
      <c r="B27" s="5" t="s">
        <v>183</v>
      </c>
      <c r="C27" s="5" t="s">
        <v>184</v>
      </c>
      <c r="D27" s="9">
        <v>20</v>
      </c>
      <c r="E27" s="5" t="s">
        <v>84</v>
      </c>
      <c r="F27" s="5" t="s">
        <v>81</v>
      </c>
      <c r="G27" s="12">
        <f t="shared" si="0"/>
        <v>9.4236937071</v>
      </c>
      <c r="H27" s="15"/>
    </row>
    <row r="28" spans="2:8">
      <c r="B28" s="5" t="s">
        <v>185</v>
      </c>
      <c r="C28" s="5" t="s">
        <v>184</v>
      </c>
      <c r="D28" s="9">
        <v>17</v>
      </c>
      <c r="E28" s="5" t="s">
        <v>84</v>
      </c>
      <c r="F28" s="5" t="s">
        <v>81</v>
      </c>
      <c r="G28" s="12">
        <f t="shared" si="0"/>
        <v>9.4236937071</v>
      </c>
      <c r="H28" s="15"/>
    </row>
    <row r="29" spans="2:8">
      <c r="B29" s="5" t="s">
        <v>186</v>
      </c>
      <c r="C29" s="5" t="s">
        <v>187</v>
      </c>
      <c r="D29" s="9">
        <v>19</v>
      </c>
      <c r="E29" s="5" t="s">
        <v>84</v>
      </c>
      <c r="F29" s="5" t="s">
        <v>81</v>
      </c>
      <c r="G29" s="12">
        <f t="shared" si="0"/>
        <v>9.4236937071</v>
      </c>
      <c r="H29" s="15"/>
    </row>
    <row r="30" spans="2:8">
      <c r="B30" s="5" t="s">
        <v>188</v>
      </c>
      <c r="C30" s="5" t="s">
        <v>187</v>
      </c>
      <c r="D30" s="9">
        <v>12</v>
      </c>
      <c r="E30" s="5" t="s">
        <v>84</v>
      </c>
      <c r="F30" s="5" t="s">
        <v>81</v>
      </c>
      <c r="G30" s="12">
        <f t="shared" si="0"/>
        <v>9.4236937071</v>
      </c>
      <c r="H30" s="15"/>
    </row>
    <row r="31" spans="2:8">
      <c r="B31" s="5" t="s">
        <v>189</v>
      </c>
      <c r="C31" s="5" t="s">
        <v>190</v>
      </c>
      <c r="D31" s="9">
        <v>33</v>
      </c>
      <c r="E31" s="5" t="s">
        <v>87</v>
      </c>
      <c r="F31" s="5" t="s">
        <v>88</v>
      </c>
      <c r="G31" s="12">
        <f>ROUND($Q$2,10)</f>
        <v>0.13915108709999999</v>
      </c>
      <c r="H31" s="15"/>
    </row>
    <row r="32" spans="2:8">
      <c r="B32" s="5" t="s">
        <v>191</v>
      </c>
      <c r="C32" s="5" t="s">
        <v>190</v>
      </c>
      <c r="D32" s="9">
        <v>32</v>
      </c>
      <c r="E32" s="5" t="s">
        <v>90</v>
      </c>
      <c r="F32" s="5" t="s">
        <v>91</v>
      </c>
      <c r="G32" s="12">
        <f>ROUND($L$2,10)</f>
        <v>12.427424118199999</v>
      </c>
      <c r="H32" s="15"/>
    </row>
    <row r="33" spans="2:35">
      <c r="B33" s="5" t="s">
        <v>192</v>
      </c>
      <c r="C33" s="5" t="s">
        <v>193</v>
      </c>
      <c r="D33" s="9">
        <v>31</v>
      </c>
      <c r="E33" s="5" t="s">
        <v>94</v>
      </c>
      <c r="F33" s="5" t="s">
        <v>95</v>
      </c>
      <c r="G33" s="12">
        <f>ROUND(($J$2+$L$2+$P$2+$Q$2+$U$2)/5,10)</f>
        <v>7.5394480759000002</v>
      </c>
      <c r="H33" s="15"/>
    </row>
    <row r="34" spans="2:35">
      <c r="B34" s="5" t="s">
        <v>197</v>
      </c>
      <c r="C34" s="5" t="s">
        <v>193</v>
      </c>
      <c r="D34" s="9">
        <v>32</v>
      </c>
      <c r="E34" s="5" t="s">
        <v>96</v>
      </c>
      <c r="F34" s="5" t="s">
        <v>97</v>
      </c>
      <c r="G34" s="12">
        <f>ROUND(($J$2+$Q$2)/2,10)</f>
        <v>12.495757043599999</v>
      </c>
      <c r="H34" s="15"/>
      <c r="AH34" s="9" t="s">
        <v>247</v>
      </c>
      <c r="AI34" s="9">
        <v>3</v>
      </c>
    </row>
    <row r="35" spans="2:35">
      <c r="B35" s="5" t="s">
        <v>196</v>
      </c>
      <c r="C35" s="5" t="s">
        <v>193</v>
      </c>
      <c r="D35" s="9">
        <v>32</v>
      </c>
      <c r="E35" s="5" t="s">
        <v>96</v>
      </c>
      <c r="F35" s="5" t="s">
        <v>97</v>
      </c>
      <c r="G35" s="12">
        <f>ROUND(($J$2+$Q$2)/2,10)</f>
        <v>12.495757043599999</v>
      </c>
      <c r="H35" s="15"/>
    </row>
    <row r="36" spans="2:35">
      <c r="B36" s="5" t="s">
        <v>195</v>
      </c>
      <c r="C36" s="5" t="s">
        <v>194</v>
      </c>
      <c r="D36" s="9">
        <v>33</v>
      </c>
      <c r="E36" s="5" t="s">
        <v>98</v>
      </c>
      <c r="F36" s="5" t="s">
        <v>81</v>
      </c>
      <c r="G36" s="12">
        <f>ROUND(($J$2+$L$2+$P$2+$Q$2)/4,10)</f>
        <v>9.4236937071</v>
      </c>
      <c r="H36" s="15"/>
    </row>
    <row r="37" spans="2:35">
      <c r="B37" s="5" t="s">
        <v>198</v>
      </c>
      <c r="C37" s="5" t="s">
        <v>199</v>
      </c>
      <c r="D37" s="9">
        <v>28</v>
      </c>
      <c r="E37" s="5" t="s">
        <v>100</v>
      </c>
      <c r="F37" s="5" t="s">
        <v>81</v>
      </c>
      <c r="G37" s="12">
        <f>ROUND(($J$2+$L$2+$P$2+$Q$2)/4,10)</f>
        <v>9.4236937071</v>
      </c>
      <c r="H37" s="15"/>
    </row>
    <row r="38" spans="2:35">
      <c r="B38" s="5" t="s">
        <v>200</v>
      </c>
      <c r="C38" s="5" t="s">
        <v>201</v>
      </c>
      <c r="D38" s="9">
        <v>27</v>
      </c>
      <c r="E38" s="5" t="s">
        <v>22</v>
      </c>
      <c r="F38" s="5" t="s">
        <v>21</v>
      </c>
      <c r="G38" s="12">
        <f>ROUND(($Y$2+$AC$2)/2,10)</f>
        <v>3.7057100000000001E-5</v>
      </c>
      <c r="H38" s="15"/>
    </row>
    <row r="39" spans="2:35">
      <c r="B39" s="5" t="s">
        <v>202</v>
      </c>
      <c r="C39" s="5" t="s">
        <v>203</v>
      </c>
      <c r="D39" s="9">
        <v>29</v>
      </c>
      <c r="E39" s="5" t="s">
        <v>103</v>
      </c>
      <c r="F39" s="5" t="s">
        <v>81</v>
      </c>
      <c r="G39" s="12">
        <f>ROUND(($J$2+$L$2+$P$2+$Q$2)/4,10)</f>
        <v>9.4236937071</v>
      </c>
      <c r="H39" s="15"/>
    </row>
    <row r="40" spans="2:35">
      <c r="B40" s="5" t="s">
        <v>204</v>
      </c>
      <c r="C40" s="5" t="s">
        <v>205</v>
      </c>
      <c r="D40" s="9">
        <v>56</v>
      </c>
      <c r="E40" s="5" t="s">
        <v>11</v>
      </c>
      <c r="F40" s="5" t="s">
        <v>105</v>
      </c>
      <c r="G40" s="12">
        <f>($Y$2+$Z$2+$W$2+$V$2)/4</f>
        <v>1.3953617572499998E-3</v>
      </c>
      <c r="H40" s="15"/>
    </row>
    <row r="41" spans="2:35">
      <c r="B41" s="5" t="s">
        <v>206</v>
      </c>
      <c r="C41" s="5" t="s">
        <v>207</v>
      </c>
      <c r="D41" s="9">
        <v>11</v>
      </c>
      <c r="E41" s="5" t="s">
        <v>106</v>
      </c>
      <c r="F41" s="5" t="s">
        <v>26</v>
      </c>
      <c r="G41" s="12">
        <f>ROUND($V$2,10)</f>
        <v>2.7093997000000002E-3</v>
      </c>
      <c r="H41" s="15"/>
    </row>
    <row r="42" spans="2:35">
      <c r="B42" s="5" t="s">
        <v>213</v>
      </c>
      <c r="C42" s="5" t="s">
        <v>207</v>
      </c>
      <c r="D42" s="9">
        <v>28</v>
      </c>
      <c r="E42" s="5" t="s">
        <v>110</v>
      </c>
      <c r="F42" s="5" t="s">
        <v>111</v>
      </c>
      <c r="G42" s="12">
        <f>ROUND(($M$2+$W$2)/2,10)</f>
        <v>1.0839709377</v>
      </c>
      <c r="H42" s="15"/>
    </row>
    <row r="43" spans="2:35">
      <c r="B43" s="5" t="s">
        <v>212</v>
      </c>
      <c r="C43" s="5" t="s">
        <v>207</v>
      </c>
      <c r="D43" s="9">
        <v>0</v>
      </c>
      <c r="E43" s="5" t="s">
        <v>49</v>
      </c>
      <c r="F43" s="5" t="s">
        <v>8</v>
      </c>
      <c r="G43" s="12">
        <f>ROUND($Y$2,10)</f>
        <v>2.4852399999999999E-5</v>
      </c>
      <c r="H43" s="15"/>
    </row>
    <row r="44" spans="2:35">
      <c r="B44" s="5" t="s">
        <v>211</v>
      </c>
      <c r="C44" s="5" t="s">
        <v>208</v>
      </c>
      <c r="D44" s="9">
        <v>0</v>
      </c>
      <c r="E44" s="5" t="s">
        <v>85</v>
      </c>
      <c r="F44" s="5" t="s">
        <v>8</v>
      </c>
      <c r="G44" s="12">
        <f>ROUND($Y$2,10)</f>
        <v>2.4852399999999999E-5</v>
      </c>
      <c r="H44" s="15"/>
    </row>
    <row r="45" spans="2:35">
      <c r="B45" s="5" t="s">
        <v>210</v>
      </c>
      <c r="C45" s="5" t="s">
        <v>207</v>
      </c>
      <c r="D45" s="9">
        <v>0</v>
      </c>
      <c r="E45" s="5" t="s">
        <v>49</v>
      </c>
      <c r="F45" s="5" t="s">
        <v>8</v>
      </c>
      <c r="G45" s="12">
        <f>ROUND($Y$2,10)</f>
        <v>2.4852399999999999E-5</v>
      </c>
      <c r="H45" s="15"/>
    </row>
    <row r="46" spans="2:35">
      <c r="B46" s="5" t="s">
        <v>209</v>
      </c>
      <c r="C46" s="5" t="s">
        <v>208</v>
      </c>
      <c r="D46" s="9">
        <v>23</v>
      </c>
      <c r="E46" s="5" t="s">
        <v>78</v>
      </c>
      <c r="F46" s="5" t="s">
        <v>113</v>
      </c>
      <c r="G46" s="12">
        <f>ROUND(($U$2+$W$2+$V$2)/3,10)</f>
        <v>2.5874754999999998E-3</v>
      </c>
      <c r="H46" s="15"/>
    </row>
    <row r="47" spans="2:35">
      <c r="B47" s="5" t="s">
        <v>214</v>
      </c>
      <c r="C47" s="5" t="s">
        <v>215</v>
      </c>
      <c r="D47" s="9">
        <v>0</v>
      </c>
      <c r="E47" s="5" t="s">
        <v>49</v>
      </c>
      <c r="F47" s="5" t="s">
        <v>8</v>
      </c>
      <c r="G47" s="12">
        <f>ROUND($Y$2,10)</f>
        <v>2.4852399999999999E-5</v>
      </c>
      <c r="H47" s="15"/>
    </row>
    <row r="48" spans="2:35">
      <c r="B48" s="5" t="s">
        <v>216</v>
      </c>
      <c r="C48" s="5" t="s">
        <v>217</v>
      </c>
      <c r="D48" s="9">
        <v>55</v>
      </c>
      <c r="E48" s="5" t="s">
        <v>116</v>
      </c>
      <c r="F48" s="5" t="s">
        <v>81</v>
      </c>
      <c r="G48" s="12">
        <f>ROUND(($J$2+$L$2+$P$2+$Q$2)/4,10)</f>
        <v>9.4236937071</v>
      </c>
    </row>
    <row r="49" spans="2:7">
      <c r="B49" s="5" t="s">
        <v>218</v>
      </c>
      <c r="C49" s="5" t="s">
        <v>219</v>
      </c>
      <c r="D49" s="9">
        <v>44</v>
      </c>
      <c r="E49" s="5" t="s">
        <v>117</v>
      </c>
      <c r="F49" s="5" t="s">
        <v>118</v>
      </c>
      <c r="G49" s="12">
        <f>ROUND(($U$2+$Q$2)/2,10)</f>
        <v>7.0808319199999997E-2</v>
      </c>
    </row>
    <row r="50" spans="2:7">
      <c r="B50" s="5" t="s">
        <v>220</v>
      </c>
      <c r="C50" s="5" t="s">
        <v>221</v>
      </c>
      <c r="D50" s="9">
        <v>44</v>
      </c>
      <c r="E50" s="5" t="s">
        <v>120</v>
      </c>
      <c r="F50" s="5" t="s">
        <v>121</v>
      </c>
      <c r="G50" s="12">
        <f>ROUND(($K$2+$L$2+$U$2+$Q$2)/4,10)</f>
        <v>3.1428814982</v>
      </c>
    </row>
    <row r="51" spans="2:7">
      <c r="B51" s="5" t="s">
        <v>222</v>
      </c>
      <c r="C51" s="5" t="s">
        <v>223</v>
      </c>
      <c r="D51" s="9">
        <v>39</v>
      </c>
      <c r="E51" s="5" t="s">
        <v>123</v>
      </c>
      <c r="F51" s="5" t="s">
        <v>121</v>
      </c>
      <c r="G51" s="12">
        <f>ROUND(($K$2+$L$2+$U$2+$Q$2)/4,10)</f>
        <v>3.1428814982</v>
      </c>
    </row>
    <row r="52" spans="2:7">
      <c r="B52" s="5" t="s">
        <v>224</v>
      </c>
      <c r="C52" s="5" t="s">
        <v>225</v>
      </c>
      <c r="D52" s="9">
        <v>46</v>
      </c>
      <c r="E52" s="5" t="s">
        <v>117</v>
      </c>
      <c r="F52" s="5" t="s">
        <v>127</v>
      </c>
      <c r="G52" s="12">
        <f>ROUND(($U$2+$Q$2+$W$2)/3,10)</f>
        <v>4.8068038E-2</v>
      </c>
    </row>
    <row r="53" spans="2:7">
      <c r="B53" s="5" t="s">
        <v>226</v>
      </c>
      <c r="C53" s="5" t="s">
        <v>227</v>
      </c>
      <c r="D53" s="9">
        <v>0</v>
      </c>
      <c r="E53" s="5" t="s">
        <v>9</v>
      </c>
      <c r="F53" s="5" t="s">
        <v>18</v>
      </c>
      <c r="G53" s="12">
        <f>ROUND(($Y$2+$X$2)/2,10)</f>
        <v>2.5971950000000001E-4</v>
      </c>
    </row>
    <row r="54" spans="2:7">
      <c r="B54" s="5" t="s">
        <v>229</v>
      </c>
      <c r="C54" s="5" t="s">
        <v>227</v>
      </c>
      <c r="D54" s="9">
        <v>0</v>
      </c>
      <c r="E54" s="5" t="s">
        <v>9</v>
      </c>
      <c r="F54" s="5" t="s">
        <v>8</v>
      </c>
      <c r="G54" s="12">
        <f>ROUND($Y$2,10)</f>
        <v>2.4852399999999999E-5</v>
      </c>
    </row>
    <row r="55" spans="2:7">
      <c r="B55" s="5" t="s">
        <v>228</v>
      </c>
      <c r="C55" s="5" t="s">
        <v>227</v>
      </c>
      <c r="D55" s="9">
        <v>0</v>
      </c>
      <c r="E55" s="5" t="s">
        <v>9</v>
      </c>
      <c r="F55" s="5" t="s">
        <v>8</v>
      </c>
      <c r="G55" s="12">
        <f>ROUND($Y$2,10)</f>
        <v>2.4852399999999999E-5</v>
      </c>
    </row>
    <row r="56" spans="2:7">
      <c r="B56" s="5" t="s">
        <v>230</v>
      </c>
      <c r="C56" s="5" t="s">
        <v>231</v>
      </c>
      <c r="D56" s="9">
        <v>47</v>
      </c>
      <c r="E56" s="5" t="s">
        <v>71</v>
      </c>
      <c r="F56" s="5" t="s">
        <v>121</v>
      </c>
      <c r="G56" s="12">
        <f>ROUND(($K$2+$L$2+$U$2+$Q$2)/4,10)</f>
        <v>3.1428814982</v>
      </c>
    </row>
    <row r="57" spans="2:7">
      <c r="B57" s="5" t="s">
        <v>232</v>
      </c>
      <c r="C57" s="5" t="s">
        <v>233</v>
      </c>
      <c r="D57" s="9">
        <v>45</v>
      </c>
      <c r="E57" s="5" t="s">
        <v>84</v>
      </c>
      <c r="F57" s="5" t="s">
        <v>81</v>
      </c>
      <c r="G57" s="12">
        <f>ROUND(($J$2+$L$2+$P$2+$Q$2)/4,10)</f>
        <v>9.4236937071</v>
      </c>
    </row>
    <row r="58" spans="2:7">
      <c r="B58" s="5" t="s">
        <v>235</v>
      </c>
      <c r="C58" s="5" t="s">
        <v>233</v>
      </c>
      <c r="D58" s="9">
        <v>45</v>
      </c>
      <c r="E58" s="5" t="s">
        <v>84</v>
      </c>
      <c r="F58" s="5" t="s">
        <v>131</v>
      </c>
      <c r="G58" s="13">
        <f>ROUND(($J$2+$L$2+$P$2+$Q$2)/4,10)</f>
        <v>9.4236937071</v>
      </c>
    </row>
    <row r="59" spans="2:7">
      <c r="B59" s="5" t="s">
        <v>234</v>
      </c>
      <c r="C59" s="5" t="s">
        <v>233</v>
      </c>
      <c r="D59" s="9">
        <v>45</v>
      </c>
      <c r="E59" s="5" t="s">
        <v>84</v>
      </c>
      <c r="F59" s="5" t="s">
        <v>81</v>
      </c>
      <c r="G59" s="12">
        <f>ROUND(($J$2+$L$2+$P$2+$Q$2)/4,10)</f>
        <v>9.4236937071</v>
      </c>
    </row>
    <row r="60" spans="2:7">
      <c r="B60" s="5" t="s">
        <v>236</v>
      </c>
      <c r="C60" s="5" t="s">
        <v>237</v>
      </c>
      <c r="D60" s="9">
        <v>51</v>
      </c>
      <c r="E60" s="5" t="s">
        <v>80</v>
      </c>
      <c r="F60" s="5" t="s">
        <v>81</v>
      </c>
      <c r="G60" s="12">
        <f>ROUND(($J$2+$L$2+$P$2+$Q$2)/4,10)</f>
        <v>9.4236937071</v>
      </c>
    </row>
    <row r="61" spans="2:7">
      <c r="B61" s="5" t="s">
        <v>238</v>
      </c>
      <c r="C61" s="5" t="s">
        <v>237</v>
      </c>
      <c r="D61" s="9">
        <v>51</v>
      </c>
      <c r="E61" s="5" t="s">
        <v>80</v>
      </c>
      <c r="F61" s="5" t="s">
        <v>81</v>
      </c>
      <c r="G61" s="12">
        <f>ROUND(($J$2+$L$2+$P$2+$Q$2)/4,10)</f>
        <v>9.4236937071</v>
      </c>
    </row>
    <row r="62" spans="2:7">
      <c r="B62" s="5" t="s">
        <v>239</v>
      </c>
      <c r="C62" s="5" t="s">
        <v>240</v>
      </c>
      <c r="D62" s="9">
        <v>0</v>
      </c>
      <c r="E62" s="5" t="s">
        <v>49</v>
      </c>
      <c r="F62" s="5" t="s">
        <v>8</v>
      </c>
      <c r="G62" s="12">
        <f>ROUND($Y$2,10)</f>
        <v>2.4852399999999999E-5</v>
      </c>
    </row>
    <row r="63" spans="2:7">
      <c r="B63" s="5" t="s">
        <v>243</v>
      </c>
      <c r="C63" s="5" t="s">
        <v>244</v>
      </c>
      <c r="D63" s="9">
        <v>49</v>
      </c>
      <c r="E63" s="5" t="s">
        <v>14</v>
      </c>
      <c r="F63" s="5" t="s">
        <v>68</v>
      </c>
      <c r="G63" s="12">
        <f>ROUND(($Y$2+$V$2)/2,10)</f>
        <v>1.367126E-3</v>
      </c>
    </row>
    <row r="64" spans="2:7">
      <c r="B64" s="5" t="s">
        <v>241</v>
      </c>
      <c r="C64" s="5" t="s">
        <v>163</v>
      </c>
      <c r="D64" s="9">
        <v>0</v>
      </c>
      <c r="E64" s="5" t="s">
        <v>5</v>
      </c>
      <c r="F64" s="5" t="s">
        <v>6</v>
      </c>
      <c r="G64" s="12">
        <f>ROUND($AG$2,10)</f>
        <v>0</v>
      </c>
    </row>
  </sheetData>
  <sheetProtection algorithmName="SHA-512" hashValue="oyaNSA3qulvC7QuH6sxQo7CF94NkgVQmSTInSde7KCl1odOTBpM6+8w0g1aS+uRehT4H8b/DOLBqnRmQyFJ4nQ==" saltValue="0Yax/rXTm20JF1M3E2bc2Q==" spinCount="100000" sheet="1"/>
  <mergeCells count="4">
    <mergeCell ref="B1:B2"/>
    <mergeCell ref="C1:C2"/>
    <mergeCell ref="G1:G2"/>
    <mergeCell ref="AH1:AI1"/>
  </mergeCells>
  <conditionalFormatting sqref="A5645:A65536">
    <cfRule type="duplicateValues" dxfId="3" priority="3" stopIfTrue="1"/>
    <cfRule type="duplicateValues" dxfId="2" priority="4" stopIfTrue="1"/>
  </conditionalFormatting>
  <conditionalFormatting sqref="A1:A5644">
    <cfRule type="duplicateValues" dxfId="1" priority="5" stopIfTrue="1"/>
    <cfRule type="duplicateValues" dxfId="0" priority="6" stopIfTrue="1"/>
  </conditionalFormatting>
  <dataValidations disablePrompts="1" count="1">
    <dataValidation type="list" allowBlank="1" showInputMessage="1" showErrorMessage="1" sqref="AJ5">
      <formula1>$B$3:$B$463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90"/>
  <sheetViews>
    <sheetView zoomScale="110" zoomScaleNormal="110" workbookViewId="0">
      <pane xSplit="4" ySplit="2" topLeftCell="E101" activePane="bottomRight" state="frozen"/>
      <selection pane="topRight" activeCell="E1" sqref="E1"/>
      <selection pane="bottomLeft" activeCell="A3" sqref="A3"/>
      <selection pane="bottomRight" activeCell="C54" sqref="C54"/>
    </sheetView>
  </sheetViews>
  <sheetFormatPr defaultColWidth="9.140625" defaultRowHeight="15"/>
  <cols>
    <col min="1" max="1" width="16.42578125" style="25" bestFit="1" customWidth="1"/>
    <col min="2" max="2" width="21.85546875" style="25" bestFit="1" customWidth="1"/>
    <col min="3" max="3" width="7" style="26" bestFit="1" customWidth="1"/>
    <col min="4" max="4" width="6.42578125" style="26" bestFit="1" customWidth="1"/>
    <col min="5" max="5" width="59.140625" style="27" customWidth="1"/>
    <col min="6" max="6" width="18" style="27" customWidth="1"/>
    <col min="7" max="7" width="16.28515625" style="28" bestFit="1" customWidth="1"/>
    <col min="8" max="9" width="10" style="25" bestFit="1" customWidth="1"/>
    <col min="10" max="11" width="12" style="25" bestFit="1" customWidth="1"/>
    <col min="12" max="12" width="10" style="25" bestFit="1" customWidth="1"/>
    <col min="13" max="16" width="12" style="25" bestFit="1" customWidth="1"/>
    <col min="17" max="19" width="11" style="25" bestFit="1" customWidth="1"/>
    <col min="20" max="20" width="12" style="25" bestFit="1" customWidth="1"/>
    <col min="21" max="21" width="10" style="25" bestFit="1" customWidth="1"/>
    <col min="22" max="31" width="12" style="25" bestFit="1" customWidth="1"/>
    <col min="32" max="32" width="2.85546875" style="25" bestFit="1" customWidth="1"/>
    <col min="33" max="33" width="16.42578125" style="25" bestFit="1" customWidth="1"/>
    <col min="34" max="34" width="13.140625" style="25" bestFit="1" customWidth="1"/>
    <col min="35" max="16384" width="9.140625" style="25"/>
  </cols>
  <sheetData>
    <row r="1" spans="1:7" s="18" customFormat="1">
      <c r="A1" s="18" t="s">
        <v>147</v>
      </c>
      <c r="B1" s="18" t="s">
        <v>146</v>
      </c>
      <c r="C1" s="242" t="s">
        <v>263</v>
      </c>
      <c r="D1" s="242"/>
      <c r="E1" s="19" t="s">
        <v>1</v>
      </c>
      <c r="F1" s="19" t="s">
        <v>2</v>
      </c>
      <c r="G1" s="20" t="s">
        <v>266</v>
      </c>
    </row>
    <row r="2" spans="1:7" s="18" customFormat="1" ht="15.75" thickBot="1">
      <c r="A2" s="21"/>
      <c r="B2" s="21"/>
      <c r="C2" s="22" t="s">
        <v>264</v>
      </c>
      <c r="D2" s="22" t="s">
        <v>265</v>
      </c>
      <c r="E2" s="23"/>
      <c r="F2" s="23" t="s">
        <v>3</v>
      </c>
      <c r="G2" s="24" t="s">
        <v>267</v>
      </c>
    </row>
    <row r="3" spans="1:7" ht="15.75" thickTop="1">
      <c r="A3" s="25" t="s">
        <v>138</v>
      </c>
      <c r="B3" s="25" t="s">
        <v>139</v>
      </c>
      <c r="C3" s="26">
        <v>0</v>
      </c>
      <c r="D3" s="26">
        <v>29</v>
      </c>
      <c r="E3" s="27" t="s">
        <v>5</v>
      </c>
      <c r="F3" s="27" t="s">
        <v>6</v>
      </c>
      <c r="G3" s="28">
        <v>0</v>
      </c>
    </row>
    <row r="4" spans="1:7">
      <c r="A4" s="25" t="s">
        <v>138</v>
      </c>
      <c r="B4" s="25" t="s">
        <v>139</v>
      </c>
      <c r="C4" s="26">
        <v>30</v>
      </c>
      <c r="D4" s="26">
        <v>90</v>
      </c>
      <c r="E4" s="27" t="s">
        <v>7</v>
      </c>
      <c r="F4" s="27" t="s">
        <v>8</v>
      </c>
      <c r="G4" s="28">
        <v>2.4852399999999999E-5</v>
      </c>
    </row>
    <row r="5" spans="1:7">
      <c r="A5" s="25" t="s">
        <v>140</v>
      </c>
      <c r="B5" s="25" t="s">
        <v>141</v>
      </c>
      <c r="C5" s="26">
        <v>0</v>
      </c>
      <c r="D5" s="26">
        <v>90</v>
      </c>
      <c r="E5" s="27" t="s">
        <v>5</v>
      </c>
      <c r="F5" s="27" t="s">
        <v>6</v>
      </c>
      <c r="G5" s="28">
        <v>0</v>
      </c>
    </row>
    <row r="6" spans="1:7">
      <c r="A6" s="25" t="s">
        <v>142</v>
      </c>
      <c r="B6" s="25" t="s">
        <v>143</v>
      </c>
      <c r="C6" s="26">
        <v>0</v>
      </c>
      <c r="D6" s="26">
        <v>90</v>
      </c>
      <c r="E6" s="27" t="s">
        <v>9</v>
      </c>
      <c r="F6" s="27" t="s">
        <v>8</v>
      </c>
      <c r="G6" s="28">
        <v>2.4852399999999999E-5</v>
      </c>
    </row>
    <row r="7" spans="1:7">
      <c r="A7" s="25" t="s">
        <v>241</v>
      </c>
      <c r="B7" s="25" t="s">
        <v>163</v>
      </c>
      <c r="C7" s="26">
        <v>0</v>
      </c>
      <c r="D7" s="26">
        <v>90</v>
      </c>
      <c r="E7" s="27" t="s">
        <v>5</v>
      </c>
      <c r="F7" s="27" t="s">
        <v>6</v>
      </c>
      <c r="G7" s="28">
        <v>0</v>
      </c>
    </row>
    <row r="8" spans="1:7">
      <c r="A8" s="25" t="s">
        <v>242</v>
      </c>
      <c r="B8" s="25" t="s">
        <v>201</v>
      </c>
      <c r="C8" s="26">
        <v>0</v>
      </c>
      <c r="D8" s="26">
        <v>46</v>
      </c>
      <c r="E8" s="27" t="s">
        <v>10</v>
      </c>
      <c r="F8" s="27" t="s">
        <v>133</v>
      </c>
      <c r="G8" s="28">
        <v>3.2923199999999997E-5</v>
      </c>
    </row>
    <row r="9" spans="1:7">
      <c r="A9" s="25" t="s">
        <v>242</v>
      </c>
      <c r="B9" s="25" t="s">
        <v>201</v>
      </c>
      <c r="C9" s="26">
        <v>47</v>
      </c>
      <c r="D9" s="26">
        <v>90</v>
      </c>
      <c r="E9" s="27" t="s">
        <v>122</v>
      </c>
      <c r="F9" s="27" t="s">
        <v>12</v>
      </c>
      <c r="G9" s="28">
        <v>1.4228590000000001E-4</v>
      </c>
    </row>
    <row r="10" spans="1:7">
      <c r="A10" s="25" t="s">
        <v>144</v>
      </c>
      <c r="B10" s="25" t="s">
        <v>145</v>
      </c>
      <c r="C10" s="26">
        <v>0</v>
      </c>
      <c r="D10" s="26">
        <v>9</v>
      </c>
      <c r="E10" s="27" t="s">
        <v>9</v>
      </c>
      <c r="F10" s="27" t="s">
        <v>12</v>
      </c>
      <c r="G10" s="28">
        <v>1.4228590000000001E-4</v>
      </c>
    </row>
    <row r="11" spans="1:7">
      <c r="A11" s="25" t="s">
        <v>144</v>
      </c>
      <c r="B11" s="25" t="s">
        <v>145</v>
      </c>
      <c r="C11" s="26">
        <v>10</v>
      </c>
      <c r="D11" s="26">
        <v>32</v>
      </c>
      <c r="E11" s="27" t="s">
        <v>13</v>
      </c>
      <c r="F11" s="27" t="s">
        <v>8</v>
      </c>
      <c r="G11" s="28">
        <v>2.4852399999999999E-5</v>
      </c>
    </row>
    <row r="12" spans="1:7">
      <c r="A12" s="25" t="s">
        <v>144</v>
      </c>
      <c r="B12" s="25" t="s">
        <v>145</v>
      </c>
      <c r="C12" s="26">
        <v>33</v>
      </c>
      <c r="D12" s="26">
        <v>51</v>
      </c>
      <c r="E12" s="27" t="s">
        <v>14</v>
      </c>
      <c r="F12" s="27" t="s">
        <v>15</v>
      </c>
      <c r="G12" s="28">
        <v>1.3061639E-3</v>
      </c>
    </row>
    <row r="13" spans="1:7">
      <c r="A13" s="25" t="s">
        <v>144</v>
      </c>
      <c r="B13" s="25" t="s">
        <v>145</v>
      </c>
      <c r="C13" s="26">
        <v>52</v>
      </c>
      <c r="D13" s="26">
        <v>90</v>
      </c>
      <c r="E13" s="27" t="s">
        <v>16</v>
      </c>
      <c r="F13" s="27" t="s">
        <v>17</v>
      </c>
      <c r="G13" s="28">
        <v>1.6926263999999999E-3</v>
      </c>
    </row>
    <row r="14" spans="1:7">
      <c r="A14" s="25" t="s">
        <v>148</v>
      </c>
      <c r="B14" s="25" t="s">
        <v>149</v>
      </c>
      <c r="C14" s="26">
        <v>0</v>
      </c>
      <c r="D14" s="26">
        <v>5</v>
      </c>
      <c r="E14" s="27" t="s">
        <v>9</v>
      </c>
      <c r="F14" s="27" t="s">
        <v>18</v>
      </c>
      <c r="G14" s="28">
        <v>2.5971950000000001E-4</v>
      </c>
    </row>
    <row r="15" spans="1:7">
      <c r="A15" s="25" t="s">
        <v>148</v>
      </c>
      <c r="B15" s="25" t="s">
        <v>149</v>
      </c>
      <c r="C15" s="26">
        <v>6</v>
      </c>
      <c r="D15" s="26">
        <v>10</v>
      </c>
      <c r="E15" s="27" t="s">
        <v>10</v>
      </c>
      <c r="F15" s="27" t="s">
        <v>19</v>
      </c>
      <c r="G15" s="28">
        <v>1.813648E-4</v>
      </c>
    </row>
    <row r="16" spans="1:7">
      <c r="A16" s="25" t="s">
        <v>148</v>
      </c>
      <c r="B16" s="25" t="s">
        <v>149</v>
      </c>
      <c r="C16" s="26">
        <v>11</v>
      </c>
      <c r="D16" s="26">
        <v>40</v>
      </c>
      <c r="E16" s="27" t="s">
        <v>20</v>
      </c>
      <c r="F16" s="27" t="s">
        <v>21</v>
      </c>
      <c r="G16" s="28">
        <v>3.7057100000000001E-5</v>
      </c>
    </row>
    <row r="17" spans="1:7">
      <c r="A17" s="25" t="s">
        <v>148</v>
      </c>
      <c r="B17" s="25" t="s">
        <v>149</v>
      </c>
      <c r="C17" s="26">
        <v>41</v>
      </c>
      <c r="D17" s="26">
        <v>90</v>
      </c>
      <c r="E17" s="27" t="s">
        <v>10</v>
      </c>
      <c r="F17" s="27" t="s">
        <v>8</v>
      </c>
      <c r="G17" s="28">
        <v>2.4852399999999999E-5</v>
      </c>
    </row>
    <row r="18" spans="1:7">
      <c r="A18" s="25" t="s">
        <v>150</v>
      </c>
      <c r="B18" s="25" t="s">
        <v>151</v>
      </c>
      <c r="C18" s="26">
        <v>0</v>
      </c>
      <c r="D18" s="26">
        <v>13</v>
      </c>
      <c r="E18" s="27" t="s">
        <v>9</v>
      </c>
      <c r="F18" s="27" t="s">
        <v>18</v>
      </c>
      <c r="G18" s="28">
        <v>2.5971950000000001E-4</v>
      </c>
    </row>
    <row r="19" spans="1:7">
      <c r="A19" s="25" t="s">
        <v>150</v>
      </c>
      <c r="B19" s="25" t="s">
        <v>151</v>
      </c>
      <c r="C19" s="26">
        <v>14</v>
      </c>
      <c r="D19" s="26">
        <v>53</v>
      </c>
      <c r="E19" s="27" t="s">
        <v>10</v>
      </c>
      <c r="F19" s="27" t="s">
        <v>8</v>
      </c>
      <c r="G19" s="28">
        <v>2.4852399999999999E-5</v>
      </c>
    </row>
    <row r="20" spans="1:7" ht="30">
      <c r="A20" s="25" t="s">
        <v>150</v>
      </c>
      <c r="B20" s="25" t="s">
        <v>151</v>
      </c>
      <c r="C20" s="26">
        <v>54</v>
      </c>
      <c r="D20" s="26">
        <v>90</v>
      </c>
      <c r="E20" s="27" t="s">
        <v>16</v>
      </c>
      <c r="F20" s="27" t="s">
        <v>48</v>
      </c>
      <c r="G20" s="28">
        <v>1.4235974999999999E-3</v>
      </c>
    </row>
    <row r="21" spans="1:7">
      <c r="A21" s="25" t="s">
        <v>152</v>
      </c>
      <c r="B21" s="25" t="s">
        <v>153</v>
      </c>
      <c r="C21" s="26">
        <v>0</v>
      </c>
      <c r="D21" s="26">
        <v>13</v>
      </c>
      <c r="E21" s="27" t="s">
        <v>10</v>
      </c>
      <c r="F21" s="27" t="s">
        <v>28</v>
      </c>
      <c r="G21" s="28">
        <v>2.4655500000000001E-5</v>
      </c>
    </row>
    <row r="22" spans="1:7">
      <c r="A22" s="25" t="s">
        <v>152</v>
      </c>
      <c r="B22" s="25" t="s">
        <v>153</v>
      </c>
      <c r="C22" s="26">
        <v>14</v>
      </c>
      <c r="D22" s="26">
        <v>45</v>
      </c>
      <c r="E22" s="27" t="s">
        <v>10</v>
      </c>
      <c r="F22" s="27" t="s">
        <v>8</v>
      </c>
      <c r="G22" s="28">
        <v>2.4852399999999999E-5</v>
      </c>
    </row>
    <row r="23" spans="1:7" ht="30">
      <c r="A23" s="25" t="s">
        <v>152</v>
      </c>
      <c r="B23" s="25" t="s">
        <v>153</v>
      </c>
      <c r="C23" s="26">
        <v>46</v>
      </c>
      <c r="D23" s="26">
        <v>90</v>
      </c>
      <c r="E23" s="27" t="s">
        <v>49</v>
      </c>
      <c r="F23" s="27" t="s">
        <v>50</v>
      </c>
      <c r="G23" s="28">
        <v>1.3953618E-3</v>
      </c>
    </row>
    <row r="24" spans="1:7">
      <c r="A24" s="25" t="s">
        <v>154</v>
      </c>
      <c r="B24" s="25" t="s">
        <v>155</v>
      </c>
      <c r="C24" s="26">
        <v>0</v>
      </c>
      <c r="D24" s="26">
        <v>15</v>
      </c>
      <c r="E24" s="27" t="s">
        <v>9</v>
      </c>
      <c r="F24" s="27" t="s">
        <v>12</v>
      </c>
      <c r="G24" s="28">
        <v>1.4228590000000001E-4</v>
      </c>
    </row>
    <row r="25" spans="1:7">
      <c r="A25" s="25" t="s">
        <v>154</v>
      </c>
      <c r="B25" s="25" t="s">
        <v>155</v>
      </c>
      <c r="C25" s="26">
        <v>16</v>
      </c>
      <c r="D25" s="26">
        <v>52</v>
      </c>
      <c r="E25" s="27" t="s">
        <v>10</v>
      </c>
      <c r="F25" s="27" t="s">
        <v>21</v>
      </c>
      <c r="G25" s="28">
        <v>3.7057100000000001E-5</v>
      </c>
    </row>
    <row r="26" spans="1:7">
      <c r="A26" s="25" t="s">
        <v>154</v>
      </c>
      <c r="B26" s="25" t="s">
        <v>155</v>
      </c>
      <c r="C26" s="26">
        <v>53</v>
      </c>
      <c r="D26" s="26">
        <v>61</v>
      </c>
      <c r="E26" s="27" t="s">
        <v>51</v>
      </c>
      <c r="F26" s="27" t="s">
        <v>52</v>
      </c>
      <c r="G26" s="28">
        <v>1.367126E-3</v>
      </c>
    </row>
    <row r="27" spans="1:7">
      <c r="A27" s="25" t="s">
        <v>154</v>
      </c>
      <c r="B27" s="25" t="s">
        <v>155</v>
      </c>
      <c r="C27" s="26">
        <v>62</v>
      </c>
      <c r="D27" s="26">
        <v>90</v>
      </c>
      <c r="E27" s="27" t="s">
        <v>53</v>
      </c>
      <c r="F27" s="27" t="s">
        <v>54</v>
      </c>
      <c r="G27" s="28">
        <v>1.7739092E-3</v>
      </c>
    </row>
    <row r="28" spans="1:7">
      <c r="A28" s="25" t="s">
        <v>157</v>
      </c>
      <c r="B28" s="25" t="s">
        <v>156</v>
      </c>
      <c r="C28" s="26">
        <v>0</v>
      </c>
      <c r="D28" s="26">
        <v>32</v>
      </c>
      <c r="E28" s="27" t="s">
        <v>9</v>
      </c>
      <c r="F28" s="27" t="s">
        <v>18</v>
      </c>
      <c r="G28" s="28">
        <v>2.5971950000000001E-4</v>
      </c>
    </row>
    <row r="29" spans="1:7">
      <c r="A29" s="25" t="s">
        <v>157</v>
      </c>
      <c r="B29" s="25" t="s">
        <v>156</v>
      </c>
      <c r="C29" s="26">
        <v>33</v>
      </c>
      <c r="D29" s="26">
        <v>54</v>
      </c>
      <c r="E29" s="27" t="s">
        <v>13</v>
      </c>
      <c r="F29" s="27" t="s">
        <v>8</v>
      </c>
      <c r="G29" s="28">
        <v>2.4852399999999999E-5</v>
      </c>
    </row>
    <row r="30" spans="1:7" ht="30">
      <c r="A30" s="25" t="s">
        <v>157</v>
      </c>
      <c r="B30" s="25" t="s">
        <v>156</v>
      </c>
      <c r="C30" s="26">
        <v>55</v>
      </c>
      <c r="D30" s="26">
        <v>90</v>
      </c>
      <c r="E30" s="27" t="s">
        <v>56</v>
      </c>
      <c r="F30" s="27" t="s">
        <v>52</v>
      </c>
      <c r="G30" s="28">
        <v>1.367126E-3</v>
      </c>
    </row>
    <row r="31" spans="1:7">
      <c r="A31" s="25" t="s">
        <v>159</v>
      </c>
      <c r="B31" s="25" t="s">
        <v>158</v>
      </c>
      <c r="C31" s="26">
        <v>0</v>
      </c>
      <c r="D31" s="26">
        <v>17</v>
      </c>
      <c r="E31" s="27" t="s">
        <v>9</v>
      </c>
      <c r="F31" s="27" t="s">
        <v>18</v>
      </c>
      <c r="G31" s="28">
        <v>2.5971950000000001E-4</v>
      </c>
    </row>
    <row r="32" spans="1:7">
      <c r="A32" s="25" t="s">
        <v>159</v>
      </c>
      <c r="B32" s="25" t="s">
        <v>158</v>
      </c>
      <c r="C32" s="26">
        <v>18</v>
      </c>
      <c r="D32" s="26">
        <v>41</v>
      </c>
      <c r="E32" s="27" t="s">
        <v>13</v>
      </c>
      <c r="F32" s="27" t="s">
        <v>8</v>
      </c>
      <c r="G32" s="28">
        <v>2.4852399999999999E-5</v>
      </c>
    </row>
    <row r="33" spans="1:7">
      <c r="A33" s="25" t="s">
        <v>159</v>
      </c>
      <c r="B33" s="25" t="s">
        <v>158</v>
      </c>
      <c r="C33" s="26">
        <v>42</v>
      </c>
      <c r="D33" s="26">
        <v>50</v>
      </c>
      <c r="E33" s="27" t="s">
        <v>57</v>
      </c>
      <c r="F33" s="27" t="s">
        <v>52</v>
      </c>
      <c r="G33" s="28">
        <v>1.367126E-3</v>
      </c>
    </row>
    <row r="34" spans="1:7" ht="30">
      <c r="A34" s="25" t="s">
        <v>159</v>
      </c>
      <c r="B34" s="25" t="s">
        <v>158</v>
      </c>
      <c r="C34" s="26">
        <v>51</v>
      </c>
      <c r="D34" s="26">
        <v>90</v>
      </c>
      <c r="E34" s="27" t="s">
        <v>58</v>
      </c>
      <c r="F34" s="27" t="s">
        <v>59</v>
      </c>
      <c r="G34" s="28">
        <v>1.6093997000000001E-3</v>
      </c>
    </row>
    <row r="35" spans="1:7">
      <c r="A35" s="25" t="s">
        <v>160</v>
      </c>
      <c r="B35" s="25" t="s">
        <v>161</v>
      </c>
      <c r="C35" s="26">
        <v>0</v>
      </c>
      <c r="D35" s="26">
        <v>37</v>
      </c>
      <c r="E35" s="27" t="s">
        <v>9</v>
      </c>
      <c r="F35" s="27" t="s">
        <v>8</v>
      </c>
      <c r="G35" s="28">
        <v>2.4852399999999999E-5</v>
      </c>
    </row>
    <row r="36" spans="1:7">
      <c r="A36" s="25" t="s">
        <v>160</v>
      </c>
      <c r="B36" s="25" t="s">
        <v>161</v>
      </c>
      <c r="C36" s="26">
        <v>37</v>
      </c>
      <c r="D36" s="26">
        <v>90</v>
      </c>
      <c r="E36" s="27" t="s">
        <v>60</v>
      </c>
      <c r="F36" s="27" t="s">
        <v>52</v>
      </c>
      <c r="G36" s="28">
        <v>1.367126E-3</v>
      </c>
    </row>
    <row r="37" spans="1:7">
      <c r="A37" s="25" t="s">
        <v>162</v>
      </c>
      <c r="B37" s="25" t="s">
        <v>163</v>
      </c>
      <c r="C37" s="26">
        <v>0</v>
      </c>
      <c r="D37" s="26">
        <v>90</v>
      </c>
      <c r="E37" s="27" t="s">
        <v>5</v>
      </c>
      <c r="F37" s="27" t="s">
        <v>6</v>
      </c>
      <c r="G37" s="28">
        <v>0</v>
      </c>
    </row>
    <row r="38" spans="1:7">
      <c r="A38" s="25" t="s">
        <v>164</v>
      </c>
      <c r="B38" s="25" t="s">
        <v>165</v>
      </c>
      <c r="C38" s="26">
        <v>0</v>
      </c>
      <c r="D38" s="26">
        <v>7</v>
      </c>
      <c r="E38" s="27" t="s">
        <v>9</v>
      </c>
      <c r="F38" s="27" t="s">
        <v>61</v>
      </c>
      <c r="G38" s="28">
        <v>2.5971950000000001E-4</v>
      </c>
    </row>
    <row r="39" spans="1:7">
      <c r="A39" s="25" t="s">
        <v>164</v>
      </c>
      <c r="B39" s="25" t="s">
        <v>165</v>
      </c>
      <c r="C39" s="26">
        <v>5</v>
      </c>
      <c r="D39" s="26">
        <v>11</v>
      </c>
      <c r="E39" s="27" t="s">
        <v>9</v>
      </c>
      <c r="F39" s="27" t="s">
        <v>12</v>
      </c>
      <c r="G39" s="28">
        <v>1.4228590000000001E-4</v>
      </c>
    </row>
    <row r="40" spans="1:7">
      <c r="A40" s="25" t="s">
        <v>164</v>
      </c>
      <c r="B40" s="25" t="s">
        <v>165</v>
      </c>
      <c r="C40" s="26">
        <v>12</v>
      </c>
      <c r="D40" s="26">
        <v>25</v>
      </c>
      <c r="E40" s="27" t="s">
        <v>13</v>
      </c>
      <c r="F40" s="27" t="s">
        <v>8</v>
      </c>
      <c r="G40" s="28">
        <v>2.4852399999999999E-5</v>
      </c>
    </row>
    <row r="41" spans="1:7">
      <c r="A41" s="25" t="s">
        <v>164</v>
      </c>
      <c r="B41" s="25" t="s">
        <v>165</v>
      </c>
      <c r="C41" s="26">
        <v>26</v>
      </c>
      <c r="D41" s="26">
        <v>40</v>
      </c>
      <c r="E41" s="27" t="s">
        <v>62</v>
      </c>
      <c r="F41" s="27" t="s">
        <v>52</v>
      </c>
      <c r="G41" s="28">
        <v>1.367126E-3</v>
      </c>
    </row>
    <row r="42" spans="1:7">
      <c r="A42" s="25" t="s">
        <v>164</v>
      </c>
      <c r="B42" s="25" t="s">
        <v>165</v>
      </c>
      <c r="C42" s="26">
        <v>41</v>
      </c>
      <c r="D42" s="26">
        <v>90</v>
      </c>
      <c r="E42" s="27" t="s">
        <v>11</v>
      </c>
      <c r="F42" s="27" t="s">
        <v>63</v>
      </c>
      <c r="G42" s="28">
        <v>1.4235974999999999E-3</v>
      </c>
    </row>
    <row r="43" spans="1:7">
      <c r="A43" s="25" t="s">
        <v>166</v>
      </c>
      <c r="B43" s="25" t="s">
        <v>167</v>
      </c>
      <c r="C43" s="26">
        <v>0</v>
      </c>
      <c r="D43" s="26">
        <v>90</v>
      </c>
      <c r="E43" s="27" t="s">
        <v>9</v>
      </c>
      <c r="F43" s="27" t="s">
        <v>8</v>
      </c>
      <c r="G43" s="28">
        <v>2.4852399999999999E-5</v>
      </c>
    </row>
    <row r="44" spans="1:7">
      <c r="A44" s="25" t="s">
        <v>166</v>
      </c>
      <c r="B44" s="25" t="s">
        <v>167</v>
      </c>
      <c r="C44" s="26">
        <v>11</v>
      </c>
      <c r="D44" s="26">
        <v>31</v>
      </c>
      <c r="E44" s="27" t="s">
        <v>64</v>
      </c>
      <c r="F44" s="27" t="s">
        <v>23</v>
      </c>
      <c r="G44" s="28">
        <v>3.7057100000000001E-5</v>
      </c>
    </row>
    <row r="45" spans="1:7">
      <c r="A45" s="25" t="s">
        <v>168</v>
      </c>
      <c r="B45" s="25" t="s">
        <v>169</v>
      </c>
      <c r="C45" s="26">
        <v>0</v>
      </c>
      <c r="D45" s="26">
        <v>11</v>
      </c>
      <c r="E45" s="27" t="s">
        <v>10</v>
      </c>
      <c r="F45" s="27" t="s">
        <v>66</v>
      </c>
      <c r="G45" s="28">
        <v>3.6958700000000002E-5</v>
      </c>
    </row>
    <row r="46" spans="1:7">
      <c r="A46" s="25" t="s">
        <v>168</v>
      </c>
      <c r="B46" s="25" t="s">
        <v>169</v>
      </c>
      <c r="C46" s="26">
        <v>12</v>
      </c>
      <c r="D46" s="26">
        <v>53</v>
      </c>
      <c r="E46" s="27" t="s">
        <v>22</v>
      </c>
      <c r="F46" s="27" t="s">
        <v>21</v>
      </c>
      <c r="G46" s="28">
        <v>3.7057100000000001E-5</v>
      </c>
    </row>
    <row r="47" spans="1:7">
      <c r="A47" s="25" t="s">
        <v>168</v>
      </c>
      <c r="B47" s="25" t="s">
        <v>169</v>
      </c>
      <c r="C47" s="26">
        <v>54</v>
      </c>
      <c r="D47" s="26">
        <v>90</v>
      </c>
      <c r="E47" s="27" t="s">
        <v>10</v>
      </c>
      <c r="F47" s="27" t="s">
        <v>8</v>
      </c>
      <c r="G47" s="28">
        <v>2.4852399999999999E-5</v>
      </c>
    </row>
    <row r="48" spans="1:7">
      <c r="A48" s="25" t="s">
        <v>170</v>
      </c>
      <c r="B48" s="25" t="s">
        <v>171</v>
      </c>
      <c r="C48" s="26">
        <v>0</v>
      </c>
      <c r="D48" s="26">
        <v>14</v>
      </c>
      <c r="E48" s="27" t="s">
        <v>49</v>
      </c>
      <c r="F48" s="27" t="s">
        <v>18</v>
      </c>
      <c r="G48" s="28">
        <v>2.5971950000000001E-4</v>
      </c>
    </row>
    <row r="49" spans="1:7">
      <c r="A49" s="25" t="s">
        <v>170</v>
      </c>
      <c r="B49" s="25" t="s">
        <v>171</v>
      </c>
      <c r="C49" s="26">
        <v>15</v>
      </c>
      <c r="D49" s="26">
        <v>30</v>
      </c>
      <c r="E49" s="27" t="s">
        <v>67</v>
      </c>
      <c r="F49" s="27" t="s">
        <v>68</v>
      </c>
      <c r="G49" s="28">
        <v>1.367126E-3</v>
      </c>
    </row>
    <row r="50" spans="1:7" ht="30">
      <c r="A50" s="25" t="s">
        <v>170</v>
      </c>
      <c r="B50" s="25" t="s">
        <v>171</v>
      </c>
      <c r="C50" s="26">
        <v>31</v>
      </c>
      <c r="D50" s="26">
        <v>90</v>
      </c>
      <c r="E50" s="27" t="s">
        <v>69</v>
      </c>
      <c r="F50" s="27" t="s">
        <v>70</v>
      </c>
      <c r="G50" s="28">
        <v>12.518541247050003</v>
      </c>
    </row>
    <row r="51" spans="1:7">
      <c r="A51" s="25" t="s">
        <v>172</v>
      </c>
      <c r="B51" s="25" t="s">
        <v>171</v>
      </c>
      <c r="C51" s="26">
        <v>0</v>
      </c>
      <c r="D51" s="26">
        <v>10</v>
      </c>
      <c r="E51" s="27" t="s">
        <v>49</v>
      </c>
      <c r="F51" s="27" t="s">
        <v>18</v>
      </c>
      <c r="G51" s="28">
        <v>2.5971950000000001E-4</v>
      </c>
    </row>
    <row r="52" spans="1:7">
      <c r="A52" s="25" t="s">
        <v>172</v>
      </c>
      <c r="B52" s="25" t="s">
        <v>171</v>
      </c>
      <c r="C52" s="26">
        <v>11</v>
      </c>
      <c r="D52" s="26">
        <v>28</v>
      </c>
      <c r="E52" s="27" t="s">
        <v>67</v>
      </c>
      <c r="F52" s="27" t="s">
        <v>68</v>
      </c>
      <c r="G52" s="28">
        <v>1.367126E-3</v>
      </c>
    </row>
    <row r="53" spans="1:7">
      <c r="A53" s="25" t="s">
        <v>172</v>
      </c>
      <c r="B53" s="25" t="s">
        <v>171</v>
      </c>
      <c r="C53" s="26">
        <v>29</v>
      </c>
      <c r="D53" s="26">
        <v>90</v>
      </c>
      <c r="E53" s="27" t="s">
        <v>71</v>
      </c>
      <c r="F53" s="27" t="s">
        <v>72</v>
      </c>
      <c r="G53" s="28">
        <v>12.5185412471</v>
      </c>
    </row>
    <row r="54" spans="1:7">
      <c r="A54" s="25" t="s">
        <v>173</v>
      </c>
      <c r="B54" s="25" t="s">
        <v>171</v>
      </c>
      <c r="C54" s="26">
        <v>0</v>
      </c>
      <c r="D54" s="26">
        <v>8</v>
      </c>
      <c r="E54" s="27" t="s">
        <v>49</v>
      </c>
      <c r="F54" s="27" t="s">
        <v>55</v>
      </c>
      <c r="G54" s="28">
        <v>2.5971950000000001E-4</v>
      </c>
    </row>
    <row r="55" spans="1:7">
      <c r="A55" s="25" t="s">
        <v>173</v>
      </c>
      <c r="B55" s="25" t="s">
        <v>171</v>
      </c>
      <c r="C55" s="26">
        <v>9</v>
      </c>
      <c r="D55" s="26">
        <v>27</v>
      </c>
      <c r="E55" s="27" t="s">
        <v>67</v>
      </c>
      <c r="F55" s="27" t="s">
        <v>68</v>
      </c>
      <c r="G55" s="28">
        <v>1.367126E-3</v>
      </c>
    </row>
    <row r="56" spans="1:7">
      <c r="A56" s="25" t="s">
        <v>173</v>
      </c>
      <c r="B56" s="25" t="s">
        <v>171</v>
      </c>
      <c r="C56" s="26">
        <v>28</v>
      </c>
      <c r="D56" s="26">
        <v>90</v>
      </c>
      <c r="E56" s="27" t="s">
        <v>71</v>
      </c>
      <c r="F56" s="27" t="s">
        <v>70</v>
      </c>
      <c r="G56" s="28">
        <v>12.518541247050003</v>
      </c>
    </row>
    <row r="57" spans="1:7">
      <c r="A57" s="25" t="s">
        <v>175</v>
      </c>
      <c r="B57" s="25" t="s">
        <v>174</v>
      </c>
      <c r="C57" s="26">
        <v>0</v>
      </c>
      <c r="D57" s="26">
        <v>11</v>
      </c>
      <c r="E57" s="27" t="s">
        <v>9</v>
      </c>
      <c r="F57" s="27" t="s">
        <v>25</v>
      </c>
      <c r="G57" s="28">
        <v>4.9458659999999997E-4</v>
      </c>
    </row>
    <row r="58" spans="1:7">
      <c r="A58" s="25" t="s">
        <v>175</v>
      </c>
      <c r="B58" s="25" t="s">
        <v>174</v>
      </c>
      <c r="C58" s="26">
        <v>12</v>
      </c>
      <c r="D58" s="26">
        <v>19</v>
      </c>
      <c r="E58" s="27" t="s">
        <v>13</v>
      </c>
      <c r="F58" s="27" t="s">
        <v>8</v>
      </c>
      <c r="G58" s="28">
        <v>2.4852399999999999E-5</v>
      </c>
    </row>
    <row r="59" spans="1:7">
      <c r="A59" s="25" t="s">
        <v>175</v>
      </c>
      <c r="B59" s="25" t="s">
        <v>174</v>
      </c>
      <c r="C59" s="26">
        <v>20</v>
      </c>
      <c r="D59" s="26">
        <v>90</v>
      </c>
      <c r="E59" s="27" t="s">
        <v>73</v>
      </c>
      <c r="F59" s="27" t="s">
        <v>26</v>
      </c>
      <c r="G59" s="28">
        <v>2.7093997000000002E-3</v>
      </c>
    </row>
    <row r="60" spans="1:7">
      <c r="A60" s="25" t="s">
        <v>176</v>
      </c>
      <c r="B60" s="25" t="s">
        <v>177</v>
      </c>
      <c r="C60" s="26">
        <v>0</v>
      </c>
      <c r="D60" s="26">
        <v>8</v>
      </c>
      <c r="E60" s="27" t="s">
        <v>9</v>
      </c>
      <c r="F60" s="27" t="s">
        <v>25</v>
      </c>
      <c r="G60" s="28">
        <v>4.9458659999999997E-4</v>
      </c>
    </row>
    <row r="61" spans="1:7">
      <c r="A61" s="25" t="s">
        <v>176</v>
      </c>
      <c r="B61" s="25" t="s">
        <v>177</v>
      </c>
      <c r="C61" s="26">
        <v>10</v>
      </c>
      <c r="D61" s="26">
        <v>31</v>
      </c>
      <c r="E61" s="27" t="s">
        <v>20</v>
      </c>
      <c r="F61" s="27" t="s">
        <v>23</v>
      </c>
      <c r="G61" s="28">
        <v>3.7057100000000001E-5</v>
      </c>
    </row>
    <row r="62" spans="1:7">
      <c r="A62" s="25" t="s">
        <v>176</v>
      </c>
      <c r="B62" s="25" t="s">
        <v>177</v>
      </c>
      <c r="C62" s="26">
        <v>32</v>
      </c>
      <c r="D62" s="26">
        <v>90</v>
      </c>
      <c r="E62" s="27" t="s">
        <v>65</v>
      </c>
      <c r="F62" s="27" t="s">
        <v>8</v>
      </c>
      <c r="G62" s="28">
        <v>2.4852399999999999E-5</v>
      </c>
    </row>
    <row r="63" spans="1:7">
      <c r="A63" s="25" t="s">
        <v>178</v>
      </c>
      <c r="B63" s="25" t="s">
        <v>179</v>
      </c>
      <c r="C63" s="26">
        <v>0</v>
      </c>
      <c r="D63" s="26">
        <v>4</v>
      </c>
      <c r="E63" s="27" t="s">
        <v>9</v>
      </c>
      <c r="F63" s="27" t="s">
        <v>75</v>
      </c>
      <c r="G63" s="28">
        <v>2.5971950000000001E-4</v>
      </c>
    </row>
    <row r="64" spans="1:7">
      <c r="A64" s="25" t="s">
        <v>178</v>
      </c>
      <c r="B64" s="25" t="s">
        <v>179</v>
      </c>
      <c r="C64" s="26">
        <v>10</v>
      </c>
      <c r="D64" s="26">
        <v>31</v>
      </c>
      <c r="E64" s="27" t="s">
        <v>13</v>
      </c>
      <c r="F64" s="27" t="s">
        <v>8</v>
      </c>
      <c r="G64" s="28">
        <v>2.4852399999999999E-5</v>
      </c>
    </row>
    <row r="65" spans="1:7">
      <c r="A65" s="25" t="s">
        <v>178</v>
      </c>
      <c r="B65" s="25" t="s">
        <v>179</v>
      </c>
      <c r="C65" s="26">
        <v>32</v>
      </c>
      <c r="D65" s="26">
        <v>90</v>
      </c>
      <c r="E65" s="27" t="s">
        <v>76</v>
      </c>
      <c r="F65" s="27" t="s">
        <v>77</v>
      </c>
      <c r="G65" s="28">
        <v>2.6484375999999998E-3</v>
      </c>
    </row>
    <row r="66" spans="1:7">
      <c r="A66" s="25" t="s">
        <v>181</v>
      </c>
      <c r="B66" s="25" t="s">
        <v>180</v>
      </c>
      <c r="C66" s="26">
        <v>0</v>
      </c>
      <c r="D66" s="26">
        <v>7</v>
      </c>
      <c r="E66" s="27" t="s">
        <v>49</v>
      </c>
      <c r="F66" s="27" t="s">
        <v>8</v>
      </c>
      <c r="G66" s="28">
        <v>2.4852399999999999E-5</v>
      </c>
    </row>
    <row r="67" spans="1:7">
      <c r="A67" s="25" t="s">
        <v>181</v>
      </c>
      <c r="B67" s="25" t="s">
        <v>180</v>
      </c>
      <c r="C67" s="26">
        <v>8</v>
      </c>
      <c r="D67" s="26">
        <v>17</v>
      </c>
      <c r="E67" s="27" t="s">
        <v>79</v>
      </c>
      <c r="F67" s="27" t="s">
        <v>52</v>
      </c>
      <c r="G67" s="28">
        <v>1.367126E-3</v>
      </c>
    </row>
    <row r="68" spans="1:7" ht="30">
      <c r="A68" s="25" t="s">
        <v>181</v>
      </c>
      <c r="B68" s="25" t="s">
        <v>180</v>
      </c>
      <c r="C68" s="26">
        <v>18</v>
      </c>
      <c r="D68" s="26">
        <v>90</v>
      </c>
      <c r="E68" s="27" t="s">
        <v>80</v>
      </c>
      <c r="F68" s="27" t="s">
        <v>81</v>
      </c>
      <c r="G68" s="28">
        <v>9.4236937071</v>
      </c>
    </row>
    <row r="69" spans="1:7">
      <c r="A69" s="25" t="s">
        <v>182</v>
      </c>
      <c r="B69" s="25" t="s">
        <v>180</v>
      </c>
      <c r="C69" s="26">
        <v>0</v>
      </c>
      <c r="D69" s="26">
        <v>7</v>
      </c>
      <c r="E69" s="27" t="s">
        <v>49</v>
      </c>
      <c r="F69" s="27" t="s">
        <v>8</v>
      </c>
      <c r="G69" s="28">
        <v>2.4852399999999999E-5</v>
      </c>
    </row>
    <row r="70" spans="1:7">
      <c r="A70" s="25" t="s">
        <v>182</v>
      </c>
      <c r="B70" s="25" t="s">
        <v>180</v>
      </c>
      <c r="C70" s="26">
        <v>8</v>
      </c>
      <c r="D70" s="26">
        <v>17</v>
      </c>
      <c r="E70" s="27" t="s">
        <v>79</v>
      </c>
      <c r="F70" s="27" t="s">
        <v>52</v>
      </c>
      <c r="G70" s="28">
        <v>1.367126E-3</v>
      </c>
    </row>
    <row r="71" spans="1:7" ht="30">
      <c r="A71" s="25" t="s">
        <v>182</v>
      </c>
      <c r="B71" s="25" t="s">
        <v>180</v>
      </c>
      <c r="C71" s="26">
        <v>18</v>
      </c>
      <c r="D71" s="26">
        <v>90</v>
      </c>
      <c r="E71" s="27" t="s">
        <v>80</v>
      </c>
      <c r="F71" s="27" t="s">
        <v>81</v>
      </c>
      <c r="G71" s="28">
        <v>9.4236937071</v>
      </c>
    </row>
    <row r="72" spans="1:7">
      <c r="A72" s="25" t="s">
        <v>183</v>
      </c>
      <c r="B72" s="25" t="s">
        <v>184</v>
      </c>
      <c r="C72" s="26">
        <v>0</v>
      </c>
      <c r="D72" s="26">
        <v>5</v>
      </c>
      <c r="E72" s="27" t="s">
        <v>49</v>
      </c>
      <c r="F72" s="27" t="s">
        <v>61</v>
      </c>
      <c r="G72" s="28">
        <v>2.5971950000000001E-4</v>
      </c>
    </row>
    <row r="73" spans="1:7">
      <c r="A73" s="25" t="s">
        <v>183</v>
      </c>
      <c r="B73" s="25" t="s">
        <v>184</v>
      </c>
      <c r="C73" s="26">
        <v>6</v>
      </c>
      <c r="D73" s="26">
        <v>19</v>
      </c>
      <c r="E73" s="27" t="s">
        <v>82</v>
      </c>
      <c r="F73" s="27" t="s">
        <v>83</v>
      </c>
      <c r="G73" s="28">
        <v>1.7324476E-3</v>
      </c>
    </row>
    <row r="74" spans="1:7" ht="30">
      <c r="A74" s="25" t="s">
        <v>183</v>
      </c>
      <c r="B74" s="25" t="s">
        <v>184</v>
      </c>
      <c r="C74" s="26">
        <v>20</v>
      </c>
      <c r="D74" s="26">
        <v>90</v>
      </c>
      <c r="E74" s="27" t="s">
        <v>84</v>
      </c>
      <c r="F74" s="27" t="s">
        <v>81</v>
      </c>
      <c r="G74" s="28">
        <v>9.4236937071</v>
      </c>
    </row>
    <row r="75" spans="1:7">
      <c r="A75" s="25" t="s">
        <v>185</v>
      </c>
      <c r="B75" s="25" t="s">
        <v>184</v>
      </c>
      <c r="C75" s="26">
        <v>0</v>
      </c>
      <c r="D75" s="26">
        <v>7</v>
      </c>
      <c r="E75" s="27" t="s">
        <v>49</v>
      </c>
      <c r="F75" s="27" t="s">
        <v>61</v>
      </c>
      <c r="G75" s="28">
        <v>2.5971950000000001E-4</v>
      </c>
    </row>
    <row r="76" spans="1:7">
      <c r="A76" s="25" t="s">
        <v>185</v>
      </c>
      <c r="B76" s="25" t="s">
        <v>184</v>
      </c>
      <c r="C76" s="26">
        <v>9</v>
      </c>
      <c r="D76" s="26">
        <v>16</v>
      </c>
      <c r="E76" s="27" t="s">
        <v>82</v>
      </c>
      <c r="F76" s="27" t="s">
        <v>83</v>
      </c>
      <c r="G76" s="28">
        <v>1.7324476E-3</v>
      </c>
    </row>
    <row r="77" spans="1:7" ht="30">
      <c r="A77" s="25" t="s">
        <v>185</v>
      </c>
      <c r="B77" s="25" t="s">
        <v>184</v>
      </c>
      <c r="C77" s="26">
        <v>17</v>
      </c>
      <c r="D77" s="26">
        <v>90</v>
      </c>
      <c r="E77" s="27" t="s">
        <v>84</v>
      </c>
      <c r="F77" s="27" t="s">
        <v>81</v>
      </c>
      <c r="G77" s="28">
        <v>9.4236937071</v>
      </c>
    </row>
    <row r="78" spans="1:7">
      <c r="A78" s="25" t="s">
        <v>186</v>
      </c>
      <c r="B78" s="25" t="s">
        <v>187</v>
      </c>
      <c r="C78" s="26">
        <v>0</v>
      </c>
      <c r="D78" s="26">
        <v>6</v>
      </c>
      <c r="E78" s="27" t="s">
        <v>85</v>
      </c>
      <c r="F78" s="27" t="s">
        <v>8</v>
      </c>
      <c r="G78" s="28">
        <v>2.4852399999999999E-5</v>
      </c>
    </row>
    <row r="79" spans="1:7">
      <c r="A79" s="25" t="s">
        <v>186</v>
      </c>
      <c r="B79" s="25" t="s">
        <v>187</v>
      </c>
      <c r="C79" s="26">
        <v>7</v>
      </c>
      <c r="D79" s="26">
        <v>18</v>
      </c>
      <c r="E79" s="27" t="s">
        <v>82</v>
      </c>
      <c r="F79" s="27" t="s">
        <v>83</v>
      </c>
      <c r="G79" s="28">
        <v>1.7324476E-3</v>
      </c>
    </row>
    <row r="80" spans="1:7" ht="30">
      <c r="A80" s="25" t="s">
        <v>186</v>
      </c>
      <c r="B80" s="25" t="s">
        <v>187</v>
      </c>
      <c r="C80" s="26">
        <v>19</v>
      </c>
      <c r="D80" s="26">
        <v>90</v>
      </c>
      <c r="E80" s="27" t="s">
        <v>84</v>
      </c>
      <c r="F80" s="27" t="s">
        <v>81</v>
      </c>
      <c r="G80" s="28">
        <v>9.4236937071</v>
      </c>
    </row>
    <row r="81" spans="1:7">
      <c r="A81" s="25" t="s">
        <v>188</v>
      </c>
      <c r="B81" s="25" t="s">
        <v>187</v>
      </c>
      <c r="C81" s="26">
        <v>0</v>
      </c>
      <c r="D81" s="26">
        <v>5</v>
      </c>
      <c r="E81" s="27" t="s">
        <v>85</v>
      </c>
      <c r="F81" s="27" t="s">
        <v>8</v>
      </c>
      <c r="G81" s="28">
        <v>2.4852399999999999E-5</v>
      </c>
    </row>
    <row r="82" spans="1:7">
      <c r="A82" s="25" t="s">
        <v>188</v>
      </c>
      <c r="B82" s="25" t="s">
        <v>187</v>
      </c>
      <c r="C82" s="26">
        <v>6</v>
      </c>
      <c r="D82" s="26">
        <v>11</v>
      </c>
      <c r="E82" s="27" t="s">
        <v>82</v>
      </c>
      <c r="F82" s="27" t="s">
        <v>83</v>
      </c>
      <c r="G82" s="28">
        <v>1.7324476E-3</v>
      </c>
    </row>
    <row r="83" spans="1:7" ht="30">
      <c r="A83" s="25" t="s">
        <v>188</v>
      </c>
      <c r="B83" s="25" t="s">
        <v>187</v>
      </c>
      <c r="C83" s="26">
        <v>12</v>
      </c>
      <c r="D83" s="26">
        <v>90</v>
      </c>
      <c r="E83" s="27" t="s">
        <v>84</v>
      </c>
      <c r="F83" s="27" t="s">
        <v>81</v>
      </c>
      <c r="G83" s="28">
        <v>9.4236937071</v>
      </c>
    </row>
    <row r="84" spans="1:7">
      <c r="A84" s="25" t="s">
        <v>189</v>
      </c>
      <c r="B84" s="25" t="s">
        <v>190</v>
      </c>
      <c r="C84" s="26">
        <v>0</v>
      </c>
      <c r="D84" s="26">
        <v>28</v>
      </c>
      <c r="E84" s="27" t="s">
        <v>9</v>
      </c>
      <c r="F84" s="27" t="s">
        <v>8</v>
      </c>
      <c r="G84" s="28">
        <v>2.4852399999999999E-5</v>
      </c>
    </row>
    <row r="85" spans="1:7">
      <c r="A85" s="25" t="s">
        <v>189</v>
      </c>
      <c r="B85" s="25" t="s">
        <v>190</v>
      </c>
      <c r="C85" s="26">
        <v>29</v>
      </c>
      <c r="D85" s="26">
        <v>32</v>
      </c>
      <c r="E85" s="27" t="s">
        <v>86</v>
      </c>
      <c r="F85" s="27" t="s">
        <v>26</v>
      </c>
      <c r="G85" s="28">
        <v>2.7093997000000002E-3</v>
      </c>
    </row>
    <row r="86" spans="1:7" ht="30">
      <c r="A86" s="25" t="s">
        <v>189</v>
      </c>
      <c r="B86" s="25" t="s">
        <v>190</v>
      </c>
      <c r="C86" s="26">
        <v>33</v>
      </c>
      <c r="D86" s="26">
        <v>90</v>
      </c>
      <c r="E86" s="27" t="s">
        <v>87</v>
      </c>
      <c r="F86" s="27" t="s">
        <v>88</v>
      </c>
      <c r="G86" s="28">
        <v>0.13915108709999999</v>
      </c>
    </row>
    <row r="87" spans="1:7">
      <c r="A87" s="25" t="s">
        <v>191</v>
      </c>
      <c r="B87" s="25" t="s">
        <v>190</v>
      </c>
      <c r="C87" s="26">
        <v>0</v>
      </c>
      <c r="D87" s="26">
        <v>6</v>
      </c>
      <c r="E87" s="27" t="s">
        <v>9</v>
      </c>
      <c r="F87" s="27" t="s">
        <v>55</v>
      </c>
      <c r="G87" s="28">
        <v>2.5971950000000001E-4</v>
      </c>
    </row>
    <row r="88" spans="1:7">
      <c r="A88" s="25" t="s">
        <v>191</v>
      </c>
      <c r="B88" s="25" t="s">
        <v>190</v>
      </c>
      <c r="C88" s="26">
        <v>10</v>
      </c>
      <c r="D88" s="26">
        <v>18</v>
      </c>
      <c r="E88" s="27" t="s">
        <v>10</v>
      </c>
      <c r="F88" s="27" t="s">
        <v>8</v>
      </c>
      <c r="G88" s="28">
        <v>2.4852399999999999E-5</v>
      </c>
    </row>
    <row r="89" spans="1:7" ht="30">
      <c r="A89" s="25" t="s">
        <v>191</v>
      </c>
      <c r="B89" s="25" t="s">
        <v>190</v>
      </c>
      <c r="C89" s="26">
        <v>19</v>
      </c>
      <c r="D89" s="26">
        <v>31</v>
      </c>
      <c r="E89" s="27" t="s">
        <v>89</v>
      </c>
      <c r="F89" s="27" t="s">
        <v>68</v>
      </c>
      <c r="G89" s="28">
        <v>1.367126E-3</v>
      </c>
    </row>
    <row r="90" spans="1:7" ht="30">
      <c r="A90" s="25" t="s">
        <v>191</v>
      </c>
      <c r="B90" s="25" t="s">
        <v>190</v>
      </c>
      <c r="C90" s="26">
        <v>32</v>
      </c>
      <c r="D90" s="26">
        <v>90</v>
      </c>
      <c r="E90" s="27" t="s">
        <v>90</v>
      </c>
      <c r="F90" s="27" t="s">
        <v>91</v>
      </c>
      <c r="G90" s="28">
        <v>12.427424118199999</v>
      </c>
    </row>
    <row r="91" spans="1:7">
      <c r="A91" s="25" t="s">
        <v>192</v>
      </c>
      <c r="B91" s="25" t="s">
        <v>193</v>
      </c>
      <c r="C91" s="26">
        <v>0</v>
      </c>
      <c r="D91" s="26">
        <v>8</v>
      </c>
      <c r="E91" s="27" t="s">
        <v>9</v>
      </c>
      <c r="F91" s="27" t="s">
        <v>75</v>
      </c>
      <c r="G91" s="28">
        <v>2.5971950000000001E-4</v>
      </c>
    </row>
    <row r="92" spans="1:7">
      <c r="A92" s="25" t="s">
        <v>192</v>
      </c>
      <c r="B92" s="25" t="s">
        <v>193</v>
      </c>
      <c r="C92" s="26">
        <v>9</v>
      </c>
      <c r="D92" s="26">
        <v>20</v>
      </c>
      <c r="E92" s="27" t="s">
        <v>13</v>
      </c>
      <c r="F92" s="27" t="s">
        <v>8</v>
      </c>
      <c r="G92" s="28">
        <v>2.4852399999999999E-5</v>
      </c>
    </row>
    <row r="93" spans="1:7">
      <c r="A93" s="25" t="s">
        <v>192</v>
      </c>
      <c r="B93" s="25" t="s">
        <v>193</v>
      </c>
      <c r="C93" s="26">
        <v>21</v>
      </c>
      <c r="D93" s="26">
        <v>30</v>
      </c>
      <c r="E93" s="27" t="s">
        <v>92</v>
      </c>
      <c r="F93" s="27" t="s">
        <v>93</v>
      </c>
      <c r="G93" s="28">
        <v>1.7324476E-3</v>
      </c>
    </row>
    <row r="94" spans="1:7" ht="30">
      <c r="A94" s="25" t="s">
        <v>192</v>
      </c>
      <c r="B94" s="25" t="s">
        <v>193</v>
      </c>
      <c r="C94" s="26">
        <v>31</v>
      </c>
      <c r="D94" s="26">
        <v>90</v>
      </c>
      <c r="E94" s="27" t="s">
        <v>94</v>
      </c>
      <c r="F94" s="27" t="s">
        <v>95</v>
      </c>
      <c r="G94" s="28">
        <v>7.5394480759000002</v>
      </c>
    </row>
    <row r="95" spans="1:7">
      <c r="A95" s="25" t="s">
        <v>197</v>
      </c>
      <c r="B95" s="25" t="s">
        <v>193</v>
      </c>
      <c r="C95" s="26">
        <v>0</v>
      </c>
      <c r="D95" s="26">
        <v>6</v>
      </c>
      <c r="E95" s="27" t="s">
        <v>9</v>
      </c>
      <c r="F95" s="27" t="s">
        <v>55</v>
      </c>
      <c r="G95" s="28">
        <v>2.5971950000000001E-4</v>
      </c>
    </row>
    <row r="96" spans="1:7">
      <c r="A96" s="25" t="s">
        <v>197</v>
      </c>
      <c r="B96" s="25" t="s">
        <v>193</v>
      </c>
      <c r="C96" s="26">
        <v>7</v>
      </c>
      <c r="D96" s="26">
        <v>10</v>
      </c>
      <c r="E96" s="27" t="s">
        <v>13</v>
      </c>
      <c r="F96" s="27" t="s">
        <v>8</v>
      </c>
      <c r="G96" s="28">
        <v>2.4852399999999999E-5</v>
      </c>
    </row>
    <row r="97" spans="1:7">
      <c r="A97" s="25" t="s">
        <v>197</v>
      </c>
      <c r="B97" s="25" t="s">
        <v>193</v>
      </c>
      <c r="C97" s="26">
        <v>11</v>
      </c>
      <c r="D97" s="26">
        <v>31</v>
      </c>
      <c r="E97" s="27" t="s">
        <v>82</v>
      </c>
      <c r="F97" s="27" t="s">
        <v>68</v>
      </c>
      <c r="G97" s="28">
        <v>1.367126E-3</v>
      </c>
    </row>
    <row r="98" spans="1:7" ht="30">
      <c r="A98" s="25" t="s">
        <v>197</v>
      </c>
      <c r="B98" s="25" t="s">
        <v>193</v>
      </c>
      <c r="C98" s="26">
        <v>32</v>
      </c>
      <c r="D98" s="26">
        <v>90</v>
      </c>
      <c r="E98" s="27" t="s">
        <v>96</v>
      </c>
      <c r="F98" s="27" t="s">
        <v>97</v>
      </c>
      <c r="G98" s="28">
        <v>12.495757043599999</v>
      </c>
    </row>
    <row r="99" spans="1:7">
      <c r="A99" s="25" t="s">
        <v>196</v>
      </c>
      <c r="B99" s="25" t="s">
        <v>193</v>
      </c>
      <c r="C99" s="26">
        <v>0</v>
      </c>
      <c r="D99" s="26">
        <v>5</v>
      </c>
      <c r="E99" s="27" t="s">
        <v>9</v>
      </c>
      <c r="F99" s="27" t="s">
        <v>18</v>
      </c>
      <c r="G99" s="28">
        <v>2.5971950000000001E-4</v>
      </c>
    </row>
    <row r="100" spans="1:7">
      <c r="A100" s="25" t="s">
        <v>196</v>
      </c>
      <c r="B100" s="25" t="s">
        <v>193</v>
      </c>
      <c r="C100" s="26">
        <v>6</v>
      </c>
      <c r="D100" s="26">
        <v>10</v>
      </c>
      <c r="E100" s="27" t="s">
        <v>13</v>
      </c>
      <c r="F100" s="27" t="s">
        <v>8</v>
      </c>
      <c r="G100" s="28">
        <v>2.4852399999999999E-5</v>
      </c>
    </row>
    <row r="101" spans="1:7">
      <c r="A101" s="25" t="s">
        <v>196</v>
      </c>
      <c r="B101" s="25" t="s">
        <v>193</v>
      </c>
      <c r="C101" s="26">
        <v>11</v>
      </c>
      <c r="D101" s="26">
        <v>31</v>
      </c>
      <c r="E101" s="27" t="s">
        <v>82</v>
      </c>
      <c r="F101" s="27" t="s">
        <v>52</v>
      </c>
      <c r="G101" s="28">
        <v>1.367126E-3</v>
      </c>
    </row>
    <row r="102" spans="1:7" ht="30">
      <c r="A102" s="25" t="s">
        <v>196</v>
      </c>
      <c r="B102" s="25" t="s">
        <v>193</v>
      </c>
      <c r="C102" s="26">
        <v>32</v>
      </c>
      <c r="D102" s="26">
        <v>90</v>
      </c>
      <c r="E102" s="27" t="s">
        <v>96</v>
      </c>
      <c r="F102" s="27" t="s">
        <v>97</v>
      </c>
      <c r="G102" s="28">
        <v>12.495757043599999</v>
      </c>
    </row>
    <row r="103" spans="1:7">
      <c r="A103" s="25" t="s">
        <v>195</v>
      </c>
      <c r="B103" s="25" t="s">
        <v>194</v>
      </c>
      <c r="C103" s="26">
        <v>0</v>
      </c>
      <c r="D103" s="26">
        <v>9</v>
      </c>
      <c r="E103" s="27" t="s">
        <v>49</v>
      </c>
      <c r="F103" s="27" t="s">
        <v>61</v>
      </c>
      <c r="G103" s="28">
        <v>2.5971950000000001E-4</v>
      </c>
    </row>
    <row r="104" spans="1:7">
      <c r="A104" s="25" t="s">
        <v>195</v>
      </c>
      <c r="B104" s="25" t="s">
        <v>194</v>
      </c>
      <c r="C104" s="26">
        <v>10</v>
      </c>
      <c r="D104" s="26">
        <v>20</v>
      </c>
      <c r="E104" s="27" t="s">
        <v>13</v>
      </c>
      <c r="F104" s="27" t="s">
        <v>8</v>
      </c>
      <c r="G104" s="28">
        <v>2.4852399999999999E-5</v>
      </c>
    </row>
    <row r="105" spans="1:7">
      <c r="A105" s="25" t="s">
        <v>195</v>
      </c>
      <c r="B105" s="25" t="s">
        <v>194</v>
      </c>
      <c r="C105" s="26">
        <v>21</v>
      </c>
      <c r="D105" s="26">
        <v>32</v>
      </c>
      <c r="E105" s="27" t="s">
        <v>82</v>
      </c>
      <c r="F105" s="27" t="s">
        <v>83</v>
      </c>
      <c r="G105" s="28">
        <v>1.7324476E-3</v>
      </c>
    </row>
    <row r="106" spans="1:7" ht="30">
      <c r="A106" s="25" t="s">
        <v>195</v>
      </c>
      <c r="B106" s="25" t="s">
        <v>194</v>
      </c>
      <c r="C106" s="26">
        <v>33</v>
      </c>
      <c r="D106" s="26">
        <v>90</v>
      </c>
      <c r="E106" s="27" t="s">
        <v>98</v>
      </c>
      <c r="F106" s="27" t="s">
        <v>81</v>
      </c>
      <c r="G106" s="28">
        <v>9.4236937071</v>
      </c>
    </row>
    <row r="107" spans="1:7">
      <c r="A107" s="25" t="s">
        <v>198</v>
      </c>
      <c r="B107" s="25" t="s">
        <v>199</v>
      </c>
      <c r="C107" s="26">
        <v>0</v>
      </c>
      <c r="D107" s="26">
        <v>13</v>
      </c>
      <c r="E107" s="27" t="s">
        <v>49</v>
      </c>
      <c r="F107" s="27" t="s">
        <v>8</v>
      </c>
      <c r="G107" s="28">
        <v>2.4852399999999999E-5</v>
      </c>
    </row>
    <row r="108" spans="1:7">
      <c r="A108" s="25" t="s">
        <v>198</v>
      </c>
      <c r="B108" s="25" t="s">
        <v>199</v>
      </c>
      <c r="C108" s="26">
        <v>14</v>
      </c>
      <c r="D108" s="26">
        <v>27</v>
      </c>
      <c r="E108" s="27" t="s">
        <v>99</v>
      </c>
      <c r="F108" s="27" t="s">
        <v>23</v>
      </c>
      <c r="G108" s="28">
        <v>3.7057100000000001E-5</v>
      </c>
    </row>
    <row r="109" spans="1:7" ht="30">
      <c r="A109" s="25" t="s">
        <v>198</v>
      </c>
      <c r="B109" s="25" t="s">
        <v>199</v>
      </c>
      <c r="C109" s="26">
        <v>28</v>
      </c>
      <c r="D109" s="26">
        <v>90</v>
      </c>
      <c r="E109" s="27" t="s">
        <v>100</v>
      </c>
      <c r="F109" s="27" t="s">
        <v>81</v>
      </c>
      <c r="G109" s="28">
        <v>9.4236937071</v>
      </c>
    </row>
    <row r="110" spans="1:7">
      <c r="A110" s="25" t="s">
        <v>200</v>
      </c>
      <c r="B110" s="25" t="s">
        <v>201</v>
      </c>
      <c r="C110" s="26">
        <v>0</v>
      </c>
      <c r="D110" s="26">
        <v>6</v>
      </c>
      <c r="E110" s="27" t="s">
        <v>10</v>
      </c>
      <c r="F110" s="27" t="s">
        <v>28</v>
      </c>
      <c r="G110" s="28">
        <v>2.4655500000000001E-5</v>
      </c>
    </row>
    <row r="111" spans="1:7">
      <c r="A111" s="25" t="s">
        <v>200</v>
      </c>
      <c r="B111" s="25" t="s">
        <v>201</v>
      </c>
      <c r="C111" s="26">
        <v>7</v>
      </c>
      <c r="D111" s="26">
        <v>26</v>
      </c>
      <c r="E111" s="27" t="s">
        <v>22</v>
      </c>
      <c r="F111" s="27" t="s">
        <v>101</v>
      </c>
      <c r="G111" s="28">
        <v>3.2923199999999997E-5</v>
      </c>
    </row>
    <row r="112" spans="1:7">
      <c r="A112" s="25" t="s">
        <v>200</v>
      </c>
      <c r="B112" s="25" t="s">
        <v>201</v>
      </c>
      <c r="C112" s="26">
        <v>27</v>
      </c>
      <c r="D112" s="26">
        <v>90</v>
      </c>
      <c r="E112" s="27" t="s">
        <v>22</v>
      </c>
      <c r="F112" s="27" t="s">
        <v>21</v>
      </c>
      <c r="G112" s="28">
        <v>3.7057100000000001E-5</v>
      </c>
    </row>
    <row r="113" spans="1:7">
      <c r="A113" s="32" t="s">
        <v>202</v>
      </c>
      <c r="B113" s="32" t="s">
        <v>203</v>
      </c>
      <c r="C113" s="33">
        <v>0</v>
      </c>
      <c r="D113" s="33">
        <v>11</v>
      </c>
      <c r="E113" s="34" t="s">
        <v>9</v>
      </c>
      <c r="F113" s="34" t="s">
        <v>12</v>
      </c>
      <c r="G113" s="35">
        <v>1.4228590000000001E-4</v>
      </c>
    </row>
    <row r="114" spans="1:7">
      <c r="A114" s="32" t="s">
        <v>202</v>
      </c>
      <c r="B114" s="32" t="s">
        <v>203</v>
      </c>
      <c r="C114" s="33">
        <v>12</v>
      </c>
      <c r="D114" s="33">
        <v>21</v>
      </c>
      <c r="E114" s="34" t="s">
        <v>65</v>
      </c>
      <c r="F114" s="34" t="s">
        <v>18</v>
      </c>
      <c r="G114" s="35">
        <v>2.5971950000000001E-4</v>
      </c>
    </row>
    <row r="115" spans="1:7">
      <c r="A115" s="32" t="s">
        <v>202</v>
      </c>
      <c r="B115" s="32" t="s">
        <v>203</v>
      </c>
      <c r="C115" s="33">
        <v>22</v>
      </c>
      <c r="D115" s="33">
        <v>28</v>
      </c>
      <c r="E115" s="34" t="s">
        <v>102</v>
      </c>
      <c r="F115" s="34" t="s">
        <v>52</v>
      </c>
      <c r="G115" s="35">
        <v>1.367126E-3</v>
      </c>
    </row>
    <row r="116" spans="1:7" ht="30">
      <c r="A116" s="32" t="s">
        <v>202</v>
      </c>
      <c r="B116" s="32" t="s">
        <v>203</v>
      </c>
      <c r="C116" s="33">
        <v>29</v>
      </c>
      <c r="D116" s="33">
        <v>90</v>
      </c>
      <c r="E116" s="34" t="s">
        <v>103</v>
      </c>
      <c r="F116" s="34" t="s">
        <v>81</v>
      </c>
      <c r="G116" s="35">
        <v>9.4236937071</v>
      </c>
    </row>
    <row r="117" spans="1:7">
      <c r="A117" s="25" t="s">
        <v>204</v>
      </c>
      <c r="B117" s="25" t="s">
        <v>205</v>
      </c>
      <c r="C117" s="26">
        <v>0</v>
      </c>
      <c r="D117" s="26">
        <v>8</v>
      </c>
      <c r="E117" s="27" t="s">
        <v>9</v>
      </c>
      <c r="F117" s="27" t="s">
        <v>18</v>
      </c>
      <c r="G117" s="28">
        <v>2.5971950000000001E-4</v>
      </c>
    </row>
    <row r="118" spans="1:7">
      <c r="A118" s="25" t="s">
        <v>204</v>
      </c>
      <c r="B118" s="25" t="s">
        <v>205</v>
      </c>
      <c r="C118" s="26">
        <v>9</v>
      </c>
      <c r="D118" s="26">
        <v>35</v>
      </c>
      <c r="E118" s="27" t="s">
        <v>13</v>
      </c>
      <c r="F118" s="27" t="s">
        <v>8</v>
      </c>
      <c r="G118" s="28">
        <v>2.4852399999999999E-5</v>
      </c>
    </row>
    <row r="119" spans="1:7">
      <c r="A119" s="25" t="s">
        <v>204</v>
      </c>
      <c r="B119" s="25" t="s">
        <v>205</v>
      </c>
      <c r="C119" s="26">
        <v>36</v>
      </c>
      <c r="D119" s="26">
        <v>55</v>
      </c>
      <c r="E119" s="27" t="s">
        <v>104</v>
      </c>
      <c r="F119" s="27" t="s">
        <v>52</v>
      </c>
      <c r="G119" s="28">
        <v>1.367126E-3</v>
      </c>
    </row>
    <row r="120" spans="1:7" ht="30">
      <c r="A120" s="25" t="s">
        <v>204</v>
      </c>
      <c r="B120" s="25" t="s">
        <v>205</v>
      </c>
      <c r="C120" s="26">
        <v>56</v>
      </c>
      <c r="D120" s="26">
        <v>90</v>
      </c>
      <c r="E120" s="27" t="s">
        <v>11</v>
      </c>
      <c r="F120" s="27" t="s">
        <v>105</v>
      </c>
      <c r="G120" s="28">
        <v>1.3953617572499998E-3</v>
      </c>
    </row>
    <row r="121" spans="1:7">
      <c r="A121" s="25" t="s">
        <v>206</v>
      </c>
      <c r="B121" s="25" t="s">
        <v>207</v>
      </c>
      <c r="C121" s="26">
        <v>0</v>
      </c>
      <c r="D121" s="26">
        <v>10</v>
      </c>
      <c r="E121" s="27" t="s">
        <v>49</v>
      </c>
      <c r="F121" s="27" t="s">
        <v>8</v>
      </c>
      <c r="G121" s="28">
        <v>2.4852399999999999E-5</v>
      </c>
    </row>
    <row r="122" spans="1:7">
      <c r="A122" s="25" t="s">
        <v>206</v>
      </c>
      <c r="B122" s="25" t="s">
        <v>207</v>
      </c>
      <c r="C122" s="26">
        <v>11</v>
      </c>
      <c r="D122" s="26">
        <v>30</v>
      </c>
      <c r="E122" s="27" t="s">
        <v>106</v>
      </c>
      <c r="F122" s="27" t="s">
        <v>26</v>
      </c>
      <c r="G122" s="28">
        <v>2.7093997000000002E-3</v>
      </c>
    </row>
    <row r="123" spans="1:7">
      <c r="A123" s="25" t="s">
        <v>206</v>
      </c>
      <c r="B123" s="25" t="s">
        <v>207</v>
      </c>
      <c r="C123" s="26">
        <v>31</v>
      </c>
      <c r="D123" s="26">
        <v>90</v>
      </c>
      <c r="E123" s="27" t="s">
        <v>107</v>
      </c>
      <c r="F123" s="27" t="s">
        <v>108</v>
      </c>
      <c r="G123" s="28">
        <v>2.4741634999999999E-3</v>
      </c>
    </row>
    <row r="124" spans="1:7">
      <c r="A124" s="25" t="s">
        <v>213</v>
      </c>
      <c r="B124" s="25" t="s">
        <v>207</v>
      </c>
      <c r="C124" s="26">
        <v>0</v>
      </c>
      <c r="D124" s="26">
        <v>10</v>
      </c>
      <c r="E124" s="27" t="s">
        <v>49</v>
      </c>
      <c r="F124" s="27" t="s">
        <v>8</v>
      </c>
      <c r="G124" s="28">
        <v>2.4852399999999999E-5</v>
      </c>
    </row>
    <row r="125" spans="1:7">
      <c r="A125" s="25" t="s">
        <v>213</v>
      </c>
      <c r="B125" s="25" t="s">
        <v>207</v>
      </c>
      <c r="C125" s="26">
        <v>11</v>
      </c>
      <c r="D125" s="26">
        <v>27</v>
      </c>
      <c r="E125" s="27" t="s">
        <v>109</v>
      </c>
      <c r="F125" s="27" t="s">
        <v>68</v>
      </c>
      <c r="G125" s="28">
        <v>1.367126E-3</v>
      </c>
    </row>
    <row r="126" spans="1:7">
      <c r="A126" s="25" t="s">
        <v>213</v>
      </c>
      <c r="B126" s="25" t="s">
        <v>207</v>
      </c>
      <c r="C126" s="26">
        <v>28</v>
      </c>
      <c r="D126" s="26">
        <v>90</v>
      </c>
      <c r="E126" s="27" t="s">
        <v>110</v>
      </c>
      <c r="F126" s="27" t="s">
        <v>111</v>
      </c>
      <c r="G126" s="28">
        <v>1.0839709377</v>
      </c>
    </row>
    <row r="127" spans="1:7">
      <c r="A127" s="25" t="s">
        <v>212</v>
      </c>
      <c r="B127" s="25" t="s">
        <v>207</v>
      </c>
      <c r="C127" s="26">
        <v>0</v>
      </c>
      <c r="D127" s="26">
        <v>7</v>
      </c>
      <c r="E127" s="27" t="s">
        <v>49</v>
      </c>
      <c r="F127" s="27" t="s">
        <v>8</v>
      </c>
      <c r="G127" s="28">
        <v>2.4852399999999999E-5</v>
      </c>
    </row>
    <row r="128" spans="1:7">
      <c r="A128" s="25" t="s">
        <v>212</v>
      </c>
      <c r="B128" s="25" t="s">
        <v>207</v>
      </c>
      <c r="C128" s="26">
        <v>8</v>
      </c>
      <c r="D128" s="26">
        <v>30</v>
      </c>
      <c r="E128" s="27" t="s">
        <v>106</v>
      </c>
      <c r="F128" s="27" t="s">
        <v>26</v>
      </c>
      <c r="G128" s="28">
        <v>2.7093997000000002E-3</v>
      </c>
    </row>
    <row r="129" spans="1:7">
      <c r="A129" s="25" t="s">
        <v>212</v>
      </c>
      <c r="B129" s="25" t="s">
        <v>207</v>
      </c>
      <c r="C129" s="26">
        <v>31</v>
      </c>
      <c r="D129" s="26">
        <v>90</v>
      </c>
      <c r="E129" s="27" t="s">
        <v>107</v>
      </c>
      <c r="F129" s="27" t="s">
        <v>108</v>
      </c>
      <c r="G129" s="28">
        <v>2.4741634999999999E-3</v>
      </c>
    </row>
    <row r="130" spans="1:7">
      <c r="A130" s="25" t="s">
        <v>211</v>
      </c>
      <c r="B130" s="25" t="s">
        <v>208</v>
      </c>
      <c r="C130" s="26">
        <v>0</v>
      </c>
      <c r="D130" s="26">
        <v>6</v>
      </c>
      <c r="E130" s="27" t="s">
        <v>85</v>
      </c>
      <c r="F130" s="27" t="s">
        <v>8</v>
      </c>
      <c r="G130" s="28">
        <v>2.4852399999999999E-5</v>
      </c>
    </row>
    <row r="131" spans="1:7">
      <c r="A131" s="25" t="s">
        <v>211</v>
      </c>
      <c r="B131" s="25" t="s">
        <v>208</v>
      </c>
      <c r="C131" s="26">
        <v>7</v>
      </c>
      <c r="D131" s="26">
        <v>22</v>
      </c>
      <c r="E131" s="27" t="s">
        <v>109</v>
      </c>
      <c r="F131" s="27" t="s">
        <v>52</v>
      </c>
      <c r="G131" s="28">
        <v>1.367126E-3</v>
      </c>
    </row>
    <row r="132" spans="1:7">
      <c r="A132" s="25" t="s">
        <v>211</v>
      </c>
      <c r="B132" s="25" t="s">
        <v>208</v>
      </c>
      <c r="C132" s="26">
        <v>23</v>
      </c>
      <c r="D132" s="26">
        <v>90</v>
      </c>
      <c r="E132" s="27" t="s">
        <v>78</v>
      </c>
      <c r="F132" s="27" t="s">
        <v>112</v>
      </c>
      <c r="G132" s="28">
        <v>2.4753938000000001E-3</v>
      </c>
    </row>
    <row r="133" spans="1:7">
      <c r="A133" s="25" t="s">
        <v>210</v>
      </c>
      <c r="B133" s="25" t="s">
        <v>207</v>
      </c>
      <c r="C133" s="26">
        <v>0</v>
      </c>
      <c r="D133" s="26">
        <v>7</v>
      </c>
      <c r="E133" s="27" t="s">
        <v>49</v>
      </c>
      <c r="F133" s="27" t="s">
        <v>8</v>
      </c>
      <c r="G133" s="28">
        <v>2.4852399999999999E-5</v>
      </c>
    </row>
    <row r="134" spans="1:7">
      <c r="A134" s="25" t="s">
        <v>210</v>
      </c>
      <c r="B134" s="25" t="s">
        <v>207</v>
      </c>
      <c r="C134" s="26">
        <v>8</v>
      </c>
      <c r="D134" s="26">
        <v>10</v>
      </c>
      <c r="E134" s="27" t="s">
        <v>106</v>
      </c>
      <c r="F134" s="27" t="s">
        <v>26</v>
      </c>
      <c r="G134" s="28">
        <v>2.7093997000000002E-3</v>
      </c>
    </row>
    <row r="135" spans="1:7">
      <c r="A135" s="25" t="s">
        <v>210</v>
      </c>
      <c r="B135" s="25" t="s">
        <v>207</v>
      </c>
      <c r="C135" s="26">
        <v>31</v>
      </c>
      <c r="D135" s="26">
        <v>90</v>
      </c>
      <c r="E135" s="27" t="s">
        <v>107</v>
      </c>
      <c r="F135" s="27" t="s">
        <v>108</v>
      </c>
      <c r="G135" s="28">
        <v>2.4741634999999999E-3</v>
      </c>
    </row>
    <row r="136" spans="1:7">
      <c r="A136" s="25" t="s">
        <v>209</v>
      </c>
      <c r="B136" s="25" t="s">
        <v>208</v>
      </c>
      <c r="C136" s="26">
        <v>0</v>
      </c>
      <c r="D136" s="26">
        <v>6</v>
      </c>
      <c r="E136" s="27" t="s">
        <v>85</v>
      </c>
      <c r="F136" s="27" t="s">
        <v>8</v>
      </c>
      <c r="G136" s="28">
        <v>2.4852399999999999E-5</v>
      </c>
    </row>
    <row r="137" spans="1:7">
      <c r="A137" s="25" t="s">
        <v>209</v>
      </c>
      <c r="B137" s="25" t="s">
        <v>208</v>
      </c>
      <c r="C137" s="26">
        <v>7</v>
      </c>
      <c r="D137" s="26">
        <v>22</v>
      </c>
      <c r="E137" s="27" t="s">
        <v>109</v>
      </c>
      <c r="F137" s="27" t="s">
        <v>52</v>
      </c>
      <c r="G137" s="28">
        <v>1.367126E-3</v>
      </c>
    </row>
    <row r="138" spans="1:7">
      <c r="A138" s="25" t="s">
        <v>209</v>
      </c>
      <c r="B138" s="25" t="s">
        <v>208</v>
      </c>
      <c r="C138" s="26">
        <v>23</v>
      </c>
      <c r="D138" s="26">
        <v>90</v>
      </c>
      <c r="E138" s="27" t="s">
        <v>78</v>
      </c>
      <c r="F138" s="27" t="s">
        <v>113</v>
      </c>
      <c r="G138" s="28">
        <v>2.5874754999999998E-3</v>
      </c>
    </row>
    <row r="139" spans="1:7">
      <c r="A139" s="25" t="s">
        <v>214</v>
      </c>
      <c r="B139" s="25" t="s">
        <v>215</v>
      </c>
      <c r="C139" s="26">
        <v>0</v>
      </c>
      <c r="D139" s="26">
        <v>23</v>
      </c>
      <c r="E139" s="27" t="s">
        <v>49</v>
      </c>
      <c r="F139" s="27" t="s">
        <v>8</v>
      </c>
      <c r="G139" s="28">
        <v>2.4852399999999999E-5</v>
      </c>
    </row>
    <row r="140" spans="1:7">
      <c r="A140" s="25" t="s">
        <v>214</v>
      </c>
      <c r="B140" s="25" t="s">
        <v>215</v>
      </c>
      <c r="C140" s="26">
        <v>24</v>
      </c>
      <c r="D140" s="26">
        <v>26</v>
      </c>
      <c r="E140" s="27" t="s">
        <v>114</v>
      </c>
      <c r="F140" s="27" t="s">
        <v>26</v>
      </c>
      <c r="G140" s="28">
        <v>2.7093997000000002E-3</v>
      </c>
    </row>
    <row r="141" spans="1:7">
      <c r="A141" s="25" t="s">
        <v>214</v>
      </c>
      <c r="B141" s="25" t="s">
        <v>215</v>
      </c>
      <c r="C141" s="26">
        <v>27</v>
      </c>
      <c r="D141" s="26">
        <v>90</v>
      </c>
      <c r="E141" s="27" t="s">
        <v>110</v>
      </c>
      <c r="F141" s="27" t="s">
        <v>24</v>
      </c>
      <c r="G141" s="28">
        <v>2.5874754999999998E-3</v>
      </c>
    </row>
    <row r="142" spans="1:7">
      <c r="A142" s="25" t="s">
        <v>216</v>
      </c>
      <c r="B142" s="25" t="s">
        <v>217</v>
      </c>
      <c r="C142" s="26">
        <v>0</v>
      </c>
      <c r="D142" s="26">
        <v>37</v>
      </c>
      <c r="E142" s="27" t="s">
        <v>9</v>
      </c>
      <c r="F142" s="27" t="s">
        <v>8</v>
      </c>
      <c r="G142" s="28">
        <v>2.4852399999999999E-5</v>
      </c>
    </row>
    <row r="143" spans="1:7">
      <c r="A143" s="25" t="s">
        <v>216</v>
      </c>
      <c r="B143" s="25" t="s">
        <v>217</v>
      </c>
      <c r="C143" s="26">
        <v>38</v>
      </c>
      <c r="D143" s="26">
        <v>54</v>
      </c>
      <c r="E143" s="27" t="s">
        <v>115</v>
      </c>
      <c r="F143" s="27" t="s">
        <v>63</v>
      </c>
      <c r="G143" s="28">
        <v>1.4235974999999999E-3</v>
      </c>
    </row>
    <row r="144" spans="1:7" ht="30">
      <c r="A144" s="25" t="s">
        <v>216</v>
      </c>
      <c r="B144" s="25" t="s">
        <v>217</v>
      </c>
      <c r="C144" s="26">
        <v>55</v>
      </c>
      <c r="D144" s="26">
        <v>90</v>
      </c>
      <c r="E144" s="27" t="s">
        <v>116</v>
      </c>
      <c r="F144" s="27" t="s">
        <v>81</v>
      </c>
      <c r="G144" s="28">
        <v>9.4236937071</v>
      </c>
    </row>
    <row r="145" spans="1:7">
      <c r="A145" s="25" t="s">
        <v>218</v>
      </c>
      <c r="B145" s="25" t="s">
        <v>219</v>
      </c>
      <c r="C145" s="26">
        <v>0</v>
      </c>
      <c r="D145" s="26">
        <v>43</v>
      </c>
      <c r="E145" s="27" t="s">
        <v>49</v>
      </c>
      <c r="F145" s="27" t="s">
        <v>8</v>
      </c>
      <c r="G145" s="28">
        <v>2.4852399999999999E-5</v>
      </c>
    </row>
    <row r="146" spans="1:7">
      <c r="A146" s="25" t="s">
        <v>218</v>
      </c>
      <c r="B146" s="25" t="s">
        <v>219</v>
      </c>
      <c r="C146" s="26">
        <v>44</v>
      </c>
      <c r="D146" s="26">
        <v>90</v>
      </c>
      <c r="E146" s="27" t="s">
        <v>117</v>
      </c>
      <c r="F146" s="27" t="s">
        <v>118</v>
      </c>
      <c r="G146" s="28">
        <v>7.0808319199999997E-2</v>
      </c>
    </row>
    <row r="147" spans="1:7">
      <c r="A147" s="25" t="s">
        <v>220</v>
      </c>
      <c r="B147" s="25" t="s">
        <v>221</v>
      </c>
      <c r="C147" s="26">
        <v>0</v>
      </c>
      <c r="D147" s="26">
        <v>34</v>
      </c>
      <c r="E147" s="27" t="s">
        <v>10</v>
      </c>
      <c r="F147" s="27" t="s">
        <v>8</v>
      </c>
      <c r="G147" s="28">
        <v>2.4852399999999999E-5</v>
      </c>
    </row>
    <row r="148" spans="1:7">
      <c r="A148" s="25" t="s">
        <v>220</v>
      </c>
      <c r="B148" s="25" t="s">
        <v>221</v>
      </c>
      <c r="C148" s="26">
        <v>35</v>
      </c>
      <c r="D148" s="26">
        <v>43</v>
      </c>
      <c r="E148" s="27" t="s">
        <v>119</v>
      </c>
      <c r="F148" s="27" t="s">
        <v>52</v>
      </c>
      <c r="G148" s="28">
        <v>1.367126E-3</v>
      </c>
    </row>
    <row r="149" spans="1:7" ht="30">
      <c r="A149" s="25" t="s">
        <v>220</v>
      </c>
      <c r="B149" s="25" t="s">
        <v>221</v>
      </c>
      <c r="C149" s="26">
        <v>44</v>
      </c>
      <c r="D149" s="26">
        <v>90</v>
      </c>
      <c r="E149" s="27" t="s">
        <v>120</v>
      </c>
      <c r="F149" s="27" t="s">
        <v>121</v>
      </c>
      <c r="G149" s="28">
        <v>3.1428814982</v>
      </c>
    </row>
    <row r="150" spans="1:7">
      <c r="A150" s="25" t="s">
        <v>222</v>
      </c>
      <c r="B150" s="25" t="s">
        <v>223</v>
      </c>
      <c r="C150" s="26">
        <v>0</v>
      </c>
      <c r="D150" s="26">
        <v>10</v>
      </c>
      <c r="E150" s="27" t="s">
        <v>9</v>
      </c>
      <c r="F150" s="27" t="s">
        <v>8</v>
      </c>
      <c r="G150" s="28">
        <v>2.4852399999999999E-5</v>
      </c>
    </row>
    <row r="151" spans="1:7">
      <c r="A151" s="25" t="s">
        <v>222</v>
      </c>
      <c r="B151" s="25" t="s">
        <v>223</v>
      </c>
      <c r="C151" s="26">
        <v>11</v>
      </c>
      <c r="D151" s="26">
        <v>32</v>
      </c>
      <c r="E151" s="27" t="s">
        <v>13</v>
      </c>
      <c r="F151" s="27" t="s">
        <v>18</v>
      </c>
      <c r="G151" s="28">
        <v>2.5971950000000001E-4</v>
      </c>
    </row>
    <row r="152" spans="1:7">
      <c r="A152" s="25" t="s">
        <v>222</v>
      </c>
      <c r="B152" s="25" t="s">
        <v>223</v>
      </c>
      <c r="C152" s="26">
        <v>33</v>
      </c>
      <c r="D152" s="26">
        <v>38</v>
      </c>
      <c r="E152" s="27" t="s">
        <v>122</v>
      </c>
      <c r="F152" s="27" t="s">
        <v>52</v>
      </c>
      <c r="G152" s="28">
        <v>1.367126E-3</v>
      </c>
    </row>
    <row r="153" spans="1:7" ht="30">
      <c r="A153" s="25" t="s">
        <v>222</v>
      </c>
      <c r="B153" s="25" t="s">
        <v>223</v>
      </c>
      <c r="C153" s="26">
        <v>39</v>
      </c>
      <c r="D153" s="26">
        <v>90</v>
      </c>
      <c r="E153" s="27" t="s">
        <v>123</v>
      </c>
      <c r="F153" s="27" t="s">
        <v>121</v>
      </c>
      <c r="G153" s="28">
        <v>3.1428814982</v>
      </c>
    </row>
    <row r="154" spans="1:7">
      <c r="A154" s="25" t="s">
        <v>224</v>
      </c>
      <c r="B154" s="25" t="s">
        <v>225</v>
      </c>
      <c r="C154" s="26">
        <v>0</v>
      </c>
      <c r="D154" s="26">
        <v>13</v>
      </c>
      <c r="E154" s="27" t="s">
        <v>49</v>
      </c>
      <c r="F154" s="27" t="s">
        <v>18</v>
      </c>
      <c r="G154" s="28">
        <v>2.5971950000000001E-4</v>
      </c>
    </row>
    <row r="155" spans="1:7">
      <c r="A155" s="25" t="s">
        <v>224</v>
      </c>
      <c r="B155" s="25" t="s">
        <v>225</v>
      </c>
      <c r="C155" s="26">
        <v>14</v>
      </c>
      <c r="D155" s="26">
        <v>37</v>
      </c>
      <c r="E155" s="27" t="s">
        <v>124</v>
      </c>
      <c r="F155" s="27" t="s">
        <v>8</v>
      </c>
      <c r="G155" s="28">
        <v>2.4852399999999999E-5</v>
      </c>
    </row>
    <row r="156" spans="1:7" ht="30">
      <c r="A156" s="25" t="s">
        <v>224</v>
      </c>
      <c r="B156" s="25" t="s">
        <v>225</v>
      </c>
      <c r="C156" s="26">
        <v>38</v>
      </c>
      <c r="D156" s="26">
        <v>45</v>
      </c>
      <c r="E156" s="27" t="s">
        <v>125</v>
      </c>
      <c r="F156" s="27" t="s">
        <v>126</v>
      </c>
      <c r="G156" s="28">
        <v>1.3953618E-3</v>
      </c>
    </row>
    <row r="157" spans="1:7">
      <c r="A157" s="25" t="s">
        <v>224</v>
      </c>
      <c r="B157" s="25" t="s">
        <v>225</v>
      </c>
      <c r="C157" s="26">
        <v>46</v>
      </c>
      <c r="D157" s="26">
        <v>90</v>
      </c>
      <c r="E157" s="27" t="s">
        <v>117</v>
      </c>
      <c r="F157" s="27" t="s">
        <v>127</v>
      </c>
      <c r="G157" s="28">
        <v>4.8068038E-2</v>
      </c>
    </row>
    <row r="158" spans="1:7">
      <c r="A158" s="25" t="s">
        <v>226</v>
      </c>
      <c r="B158" s="25" t="s">
        <v>227</v>
      </c>
      <c r="C158" s="26">
        <v>0</v>
      </c>
      <c r="D158" s="26">
        <v>10</v>
      </c>
      <c r="E158" s="27" t="s">
        <v>9</v>
      </c>
      <c r="F158" s="27" t="s">
        <v>18</v>
      </c>
      <c r="G158" s="28">
        <v>2.5971950000000001E-4</v>
      </c>
    </row>
    <row r="159" spans="1:7">
      <c r="A159" s="25" t="s">
        <v>226</v>
      </c>
      <c r="B159" s="25" t="s">
        <v>227</v>
      </c>
      <c r="C159" s="26">
        <v>10</v>
      </c>
      <c r="D159" s="26">
        <v>90</v>
      </c>
      <c r="E159" s="27" t="s">
        <v>128</v>
      </c>
      <c r="F159" s="27" t="s">
        <v>8</v>
      </c>
      <c r="G159" s="28">
        <v>2.4852399999999999E-5</v>
      </c>
    </row>
    <row r="160" spans="1:7">
      <c r="A160" s="25" t="s">
        <v>229</v>
      </c>
      <c r="B160" s="25" t="s">
        <v>227</v>
      </c>
      <c r="C160" s="29">
        <v>0</v>
      </c>
      <c r="D160" s="29">
        <v>10</v>
      </c>
      <c r="E160" s="30" t="s">
        <v>9</v>
      </c>
      <c r="F160" s="30" t="s">
        <v>8</v>
      </c>
      <c r="G160" s="31">
        <v>2.4852399999999999E-5</v>
      </c>
    </row>
    <row r="161" spans="1:7">
      <c r="A161" s="25" t="s">
        <v>228</v>
      </c>
      <c r="B161" s="25" t="s">
        <v>227</v>
      </c>
      <c r="C161" s="29">
        <v>11</v>
      </c>
      <c r="D161" s="29">
        <v>26</v>
      </c>
      <c r="E161" s="30" t="s">
        <v>64</v>
      </c>
      <c r="F161" s="30" t="s">
        <v>21</v>
      </c>
      <c r="G161" s="31">
        <v>3.7057100000000001E-5</v>
      </c>
    </row>
    <row r="162" spans="1:7">
      <c r="A162" s="25" t="s">
        <v>228</v>
      </c>
      <c r="B162" s="25" t="s">
        <v>227</v>
      </c>
      <c r="C162" s="29">
        <v>27</v>
      </c>
      <c r="D162" s="29">
        <v>90</v>
      </c>
      <c r="E162" s="30" t="s">
        <v>22</v>
      </c>
      <c r="F162" s="30" t="s">
        <v>8</v>
      </c>
      <c r="G162" s="31">
        <v>2.4852399999999999E-5</v>
      </c>
    </row>
    <row r="163" spans="1:7">
      <c r="A163" s="25" t="s">
        <v>230</v>
      </c>
      <c r="B163" s="25" t="s">
        <v>231</v>
      </c>
      <c r="C163" s="26">
        <v>0</v>
      </c>
      <c r="D163" s="26">
        <v>13</v>
      </c>
      <c r="E163" s="27" t="s">
        <v>9</v>
      </c>
      <c r="F163" s="27" t="s">
        <v>12</v>
      </c>
      <c r="G163" s="28">
        <v>1.4228590000000001E-4</v>
      </c>
    </row>
    <row r="164" spans="1:7">
      <c r="A164" s="25" t="s">
        <v>230</v>
      </c>
      <c r="B164" s="25" t="s">
        <v>231</v>
      </c>
      <c r="C164" s="26">
        <v>14</v>
      </c>
      <c r="D164" s="26">
        <v>26</v>
      </c>
      <c r="E164" s="27" t="s">
        <v>13</v>
      </c>
      <c r="F164" s="27" t="s">
        <v>55</v>
      </c>
      <c r="G164" s="28">
        <v>2.5971950000000001E-4</v>
      </c>
    </row>
    <row r="165" spans="1:7" ht="30">
      <c r="A165" s="25" t="s">
        <v>230</v>
      </c>
      <c r="B165" s="25" t="s">
        <v>231</v>
      </c>
      <c r="C165" s="26">
        <v>27</v>
      </c>
      <c r="D165" s="26">
        <v>46</v>
      </c>
      <c r="E165" s="27" t="s">
        <v>129</v>
      </c>
      <c r="F165" s="27" t="s">
        <v>130</v>
      </c>
      <c r="G165" s="28">
        <v>1.1908219E-3</v>
      </c>
    </row>
    <row r="166" spans="1:7" ht="30">
      <c r="A166" s="25" t="s">
        <v>230</v>
      </c>
      <c r="B166" s="25" t="s">
        <v>231</v>
      </c>
      <c r="C166" s="26">
        <v>47</v>
      </c>
      <c r="D166" s="26">
        <v>90</v>
      </c>
      <c r="E166" s="27" t="s">
        <v>71</v>
      </c>
      <c r="F166" s="27" t="s">
        <v>121</v>
      </c>
      <c r="G166" s="28">
        <v>3.1428814982</v>
      </c>
    </row>
    <row r="167" spans="1:7">
      <c r="A167" s="25" t="s">
        <v>232</v>
      </c>
      <c r="B167" s="25" t="s">
        <v>233</v>
      </c>
      <c r="C167" s="26">
        <v>0</v>
      </c>
      <c r="D167" s="26">
        <v>10</v>
      </c>
      <c r="E167" s="27" t="s">
        <v>9</v>
      </c>
      <c r="F167" s="27" t="s">
        <v>12</v>
      </c>
      <c r="G167" s="28">
        <v>1.4228590000000001E-4</v>
      </c>
    </row>
    <row r="168" spans="1:7">
      <c r="A168" s="25" t="s">
        <v>232</v>
      </c>
      <c r="B168" s="25" t="s">
        <v>233</v>
      </c>
      <c r="C168" s="26">
        <v>11</v>
      </c>
      <c r="D168" s="26">
        <v>27</v>
      </c>
      <c r="E168" s="27" t="s">
        <v>13</v>
      </c>
      <c r="F168" s="27" t="s">
        <v>8</v>
      </c>
      <c r="G168" s="28">
        <v>2.4852399999999999E-5</v>
      </c>
    </row>
    <row r="169" spans="1:7">
      <c r="A169" s="25" t="s">
        <v>232</v>
      </c>
      <c r="B169" s="25" t="s">
        <v>233</v>
      </c>
      <c r="C169" s="26">
        <v>28</v>
      </c>
      <c r="D169" s="26">
        <v>44</v>
      </c>
      <c r="E169" s="27" t="s">
        <v>109</v>
      </c>
      <c r="F169" s="27" t="s">
        <v>52</v>
      </c>
      <c r="G169" s="28">
        <v>1.367126E-3</v>
      </c>
    </row>
    <row r="170" spans="1:7" ht="30">
      <c r="A170" s="25" t="s">
        <v>232</v>
      </c>
      <c r="B170" s="25" t="s">
        <v>233</v>
      </c>
      <c r="C170" s="26">
        <v>45</v>
      </c>
      <c r="D170" s="26">
        <v>90</v>
      </c>
      <c r="E170" s="27" t="s">
        <v>84</v>
      </c>
      <c r="F170" s="27" t="s">
        <v>81</v>
      </c>
      <c r="G170" s="28">
        <v>9.4236937071</v>
      </c>
    </row>
    <row r="171" spans="1:7">
      <c r="A171" s="25" t="s">
        <v>235</v>
      </c>
      <c r="B171" s="25" t="s">
        <v>233</v>
      </c>
      <c r="C171" s="26">
        <v>0</v>
      </c>
      <c r="D171" s="26">
        <v>10</v>
      </c>
      <c r="E171" s="27" t="s">
        <v>9</v>
      </c>
      <c r="F171" s="27" t="s">
        <v>12</v>
      </c>
      <c r="G171" s="28">
        <v>1.4228590000000001E-4</v>
      </c>
    </row>
    <row r="172" spans="1:7">
      <c r="A172" s="25" t="s">
        <v>235</v>
      </c>
      <c r="B172" s="25" t="s">
        <v>233</v>
      </c>
      <c r="C172" s="26">
        <v>11</v>
      </c>
      <c r="D172" s="26">
        <v>37</v>
      </c>
      <c r="E172" s="27" t="s">
        <v>13</v>
      </c>
      <c r="F172" s="27" t="s">
        <v>8</v>
      </c>
      <c r="G172" s="28">
        <v>2.4852399999999999E-5</v>
      </c>
    </row>
    <row r="173" spans="1:7">
      <c r="A173" s="25" t="s">
        <v>235</v>
      </c>
      <c r="B173" s="25" t="s">
        <v>233</v>
      </c>
      <c r="C173" s="26">
        <v>38</v>
      </c>
      <c r="D173" s="26">
        <v>44</v>
      </c>
      <c r="E173" s="27" t="s">
        <v>109</v>
      </c>
      <c r="F173" s="27" t="s">
        <v>52</v>
      </c>
      <c r="G173" s="28">
        <v>1.367126E-3</v>
      </c>
    </row>
    <row r="174" spans="1:7" ht="30">
      <c r="A174" s="25" t="s">
        <v>235</v>
      </c>
      <c r="B174" s="25" t="s">
        <v>233</v>
      </c>
      <c r="C174" s="26">
        <v>45</v>
      </c>
      <c r="D174" s="26">
        <v>90</v>
      </c>
      <c r="E174" s="27" t="s">
        <v>84</v>
      </c>
      <c r="F174" s="27" t="s">
        <v>131</v>
      </c>
      <c r="G174" s="28">
        <v>9.4236937071</v>
      </c>
    </row>
    <row r="175" spans="1:7">
      <c r="A175" s="25" t="s">
        <v>234</v>
      </c>
      <c r="B175" s="25" t="s">
        <v>233</v>
      </c>
      <c r="C175" s="26">
        <v>0</v>
      </c>
      <c r="D175" s="26">
        <v>10</v>
      </c>
      <c r="E175" s="27" t="s">
        <v>9</v>
      </c>
      <c r="F175" s="27" t="s">
        <v>12</v>
      </c>
      <c r="G175" s="28">
        <v>1.4228590000000001E-4</v>
      </c>
    </row>
    <row r="176" spans="1:7">
      <c r="A176" s="25" t="s">
        <v>234</v>
      </c>
      <c r="B176" s="25" t="s">
        <v>233</v>
      </c>
      <c r="C176" s="26">
        <v>11</v>
      </c>
      <c r="D176" s="26">
        <v>37</v>
      </c>
      <c r="E176" s="27" t="s">
        <v>13</v>
      </c>
      <c r="F176" s="27" t="s">
        <v>8</v>
      </c>
      <c r="G176" s="28">
        <v>2.4852399999999999E-5</v>
      </c>
    </row>
    <row r="177" spans="1:7">
      <c r="A177" s="25" t="s">
        <v>234</v>
      </c>
      <c r="B177" s="25" t="s">
        <v>233</v>
      </c>
      <c r="C177" s="26">
        <v>38</v>
      </c>
      <c r="D177" s="26">
        <v>44</v>
      </c>
      <c r="E177" s="27" t="s">
        <v>109</v>
      </c>
      <c r="F177" s="27" t="s">
        <v>52</v>
      </c>
      <c r="G177" s="28">
        <v>1.367126E-3</v>
      </c>
    </row>
    <row r="178" spans="1:7" ht="30">
      <c r="A178" s="25" t="s">
        <v>234</v>
      </c>
      <c r="B178" s="25" t="s">
        <v>233</v>
      </c>
      <c r="C178" s="26">
        <v>45</v>
      </c>
      <c r="D178" s="26">
        <v>90</v>
      </c>
      <c r="E178" s="27" t="s">
        <v>84</v>
      </c>
      <c r="F178" s="27" t="s">
        <v>81</v>
      </c>
      <c r="G178" s="28">
        <v>9.4236937071</v>
      </c>
    </row>
    <row r="179" spans="1:7">
      <c r="A179" s="25" t="s">
        <v>236</v>
      </c>
      <c r="B179" s="25" t="s">
        <v>237</v>
      </c>
      <c r="C179" s="26">
        <v>0</v>
      </c>
      <c r="D179" s="26">
        <v>12</v>
      </c>
      <c r="E179" s="27" t="s">
        <v>9</v>
      </c>
      <c r="F179" s="27" t="s">
        <v>12</v>
      </c>
      <c r="G179" s="28">
        <v>1.4228590000000001E-4</v>
      </c>
    </row>
    <row r="180" spans="1:7">
      <c r="A180" s="25" t="s">
        <v>236</v>
      </c>
      <c r="B180" s="25" t="s">
        <v>237</v>
      </c>
      <c r="C180" s="26">
        <v>13</v>
      </c>
      <c r="D180" s="26">
        <v>42</v>
      </c>
      <c r="E180" s="27" t="s">
        <v>10</v>
      </c>
      <c r="F180" s="27" t="s">
        <v>8</v>
      </c>
      <c r="G180" s="28">
        <v>2.4852399999999999E-5</v>
      </c>
    </row>
    <row r="181" spans="1:7" ht="30">
      <c r="A181" s="25" t="s">
        <v>236</v>
      </c>
      <c r="B181" s="25" t="s">
        <v>237</v>
      </c>
      <c r="C181" s="26">
        <v>43</v>
      </c>
      <c r="D181" s="26">
        <v>50</v>
      </c>
      <c r="E181" s="27" t="s">
        <v>132</v>
      </c>
      <c r="F181" s="27" t="s">
        <v>63</v>
      </c>
      <c r="G181" s="28">
        <v>1.4235974999999999E-3</v>
      </c>
    </row>
    <row r="182" spans="1:7" ht="30">
      <c r="A182" s="25" t="s">
        <v>236</v>
      </c>
      <c r="B182" s="25" t="s">
        <v>237</v>
      </c>
      <c r="C182" s="26">
        <v>51</v>
      </c>
      <c r="D182" s="26">
        <v>90</v>
      </c>
      <c r="E182" s="27" t="s">
        <v>80</v>
      </c>
      <c r="F182" s="27" t="s">
        <v>81</v>
      </c>
      <c r="G182" s="28">
        <v>9.4236937071</v>
      </c>
    </row>
    <row r="183" spans="1:7">
      <c r="A183" s="25" t="s">
        <v>238</v>
      </c>
      <c r="B183" s="25" t="s">
        <v>237</v>
      </c>
      <c r="C183" s="26">
        <v>0</v>
      </c>
      <c r="D183" s="26">
        <v>12</v>
      </c>
      <c r="E183" s="27" t="s">
        <v>9</v>
      </c>
      <c r="F183" s="27" t="s">
        <v>12</v>
      </c>
      <c r="G183" s="28">
        <v>1.4228590000000001E-4</v>
      </c>
    </row>
    <row r="184" spans="1:7">
      <c r="A184" s="25" t="s">
        <v>238</v>
      </c>
      <c r="B184" s="25" t="s">
        <v>237</v>
      </c>
      <c r="C184" s="26">
        <v>13</v>
      </c>
      <c r="D184" s="26">
        <v>42</v>
      </c>
      <c r="E184" s="27" t="s">
        <v>10</v>
      </c>
      <c r="F184" s="27" t="s">
        <v>8</v>
      </c>
      <c r="G184" s="28">
        <v>2.4852399999999999E-5</v>
      </c>
    </row>
    <row r="185" spans="1:7" ht="30">
      <c r="A185" s="25" t="s">
        <v>238</v>
      </c>
      <c r="B185" s="25" t="s">
        <v>237</v>
      </c>
      <c r="C185" s="26">
        <v>43</v>
      </c>
      <c r="D185" s="26">
        <v>50</v>
      </c>
      <c r="E185" s="27" t="s">
        <v>132</v>
      </c>
      <c r="F185" s="27" t="s">
        <v>63</v>
      </c>
      <c r="G185" s="28">
        <v>1.4235974999999999E-3</v>
      </c>
    </row>
    <row r="186" spans="1:7" ht="30">
      <c r="A186" s="25" t="s">
        <v>238</v>
      </c>
      <c r="B186" s="25" t="s">
        <v>237</v>
      </c>
      <c r="C186" s="26">
        <v>51</v>
      </c>
      <c r="D186" s="26">
        <v>90</v>
      </c>
      <c r="E186" s="27" t="s">
        <v>80</v>
      </c>
      <c r="F186" s="27" t="s">
        <v>81</v>
      </c>
      <c r="G186" s="28">
        <v>9.4236937071</v>
      </c>
    </row>
    <row r="187" spans="1:7">
      <c r="A187" s="25" t="s">
        <v>239</v>
      </c>
      <c r="B187" s="25" t="s">
        <v>240</v>
      </c>
      <c r="C187" s="26">
        <v>0</v>
      </c>
      <c r="D187" s="26">
        <v>90</v>
      </c>
      <c r="E187" s="27" t="s">
        <v>49</v>
      </c>
      <c r="F187" s="27" t="s">
        <v>8</v>
      </c>
      <c r="G187" s="28">
        <v>2.4852399999999999E-5</v>
      </c>
    </row>
    <row r="188" spans="1:7">
      <c r="A188" s="25" t="s">
        <v>243</v>
      </c>
      <c r="B188" s="25" t="s">
        <v>244</v>
      </c>
      <c r="C188" s="26">
        <v>0</v>
      </c>
      <c r="D188" s="26">
        <v>28</v>
      </c>
      <c r="E188" s="27" t="s">
        <v>49</v>
      </c>
      <c r="F188" s="27" t="s">
        <v>134</v>
      </c>
      <c r="G188" s="28">
        <v>1.813648E-4</v>
      </c>
    </row>
    <row r="189" spans="1:7">
      <c r="A189" s="25" t="s">
        <v>243</v>
      </c>
      <c r="B189" s="25" t="s">
        <v>244</v>
      </c>
      <c r="C189" s="26">
        <v>29</v>
      </c>
      <c r="D189" s="26">
        <v>48</v>
      </c>
      <c r="E189" s="27" t="s">
        <v>135</v>
      </c>
      <c r="F189" s="27" t="s">
        <v>8</v>
      </c>
      <c r="G189" s="28">
        <v>2.4852399999999999E-5</v>
      </c>
    </row>
    <row r="190" spans="1:7">
      <c r="A190" s="25" t="s">
        <v>243</v>
      </c>
      <c r="B190" s="25" t="s">
        <v>244</v>
      </c>
      <c r="C190" s="26">
        <v>49</v>
      </c>
      <c r="D190" s="26">
        <v>90</v>
      </c>
      <c r="E190" s="27" t="s">
        <v>14</v>
      </c>
      <c r="F190" s="27" t="s">
        <v>68</v>
      </c>
      <c r="G190" s="28">
        <v>1.367126E-3</v>
      </c>
    </row>
  </sheetData>
  <sheetProtection algorithmName="SHA-512" hashValue="SVVzALbUcz8+kChnZCGGQFKlDb255PozbBbED4If9uCI97iZplxsnQKtv0+MhFou26Cuui8Ro+pFQtJqgj501Q==" saltValue="YxiiF5ZvNKrGI2Gcbi5Mzw==" spinCount="100000" sheet="1"/>
  <mergeCells count="1">
    <mergeCell ref="C1:D1"/>
  </mergeCells>
  <printOptions gridLines="1"/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6"/>
  <sheetViews>
    <sheetView topLeftCell="A19" workbookViewId="0">
      <selection activeCell="C3" sqref="C3"/>
    </sheetView>
  </sheetViews>
  <sheetFormatPr defaultColWidth="10.7109375" defaultRowHeight="15"/>
  <cols>
    <col min="1" max="1" width="6.28515625" style="17" bestFit="1" customWidth="1"/>
    <col min="2" max="2" width="21.7109375" style="17" bestFit="1" customWidth="1"/>
    <col min="3" max="4" width="3" style="17" bestFit="1" customWidth="1"/>
    <col min="5" max="5" width="42.42578125" style="17" bestFit="1" customWidth="1"/>
    <col min="6" max="6" width="21.85546875" style="17" bestFit="1" customWidth="1"/>
    <col min="7" max="7" width="13.7109375" style="17" bestFit="1" customWidth="1"/>
    <col min="8" max="16384" width="10.7109375" style="17"/>
  </cols>
  <sheetData>
    <row r="1" spans="1:7" ht="30">
      <c r="A1" s="27" t="s">
        <v>170</v>
      </c>
      <c r="B1" s="27" t="s">
        <v>171</v>
      </c>
      <c r="C1" s="36">
        <v>31</v>
      </c>
      <c r="D1" s="36">
        <v>90</v>
      </c>
      <c r="E1" s="27" t="s">
        <v>69</v>
      </c>
      <c r="F1" s="27" t="s">
        <v>70</v>
      </c>
      <c r="G1" s="37">
        <v>12.518541247050003</v>
      </c>
    </row>
    <row r="2" spans="1:7" ht="30">
      <c r="A2" s="27" t="s">
        <v>172</v>
      </c>
      <c r="B2" s="27" t="s">
        <v>171</v>
      </c>
      <c r="C2" s="36">
        <v>29</v>
      </c>
      <c r="D2" s="36">
        <v>90</v>
      </c>
      <c r="E2" s="27" t="s">
        <v>71</v>
      </c>
      <c r="F2" s="27" t="s">
        <v>72</v>
      </c>
      <c r="G2" s="37">
        <v>12.5185412471</v>
      </c>
    </row>
    <row r="3" spans="1:7" ht="30">
      <c r="A3" s="27" t="s">
        <v>173</v>
      </c>
      <c r="B3" s="27" t="s">
        <v>171</v>
      </c>
      <c r="C3" s="36">
        <v>28</v>
      </c>
      <c r="D3" s="36">
        <v>90</v>
      </c>
      <c r="E3" s="27" t="s">
        <v>71</v>
      </c>
      <c r="F3" s="27" t="s">
        <v>70</v>
      </c>
      <c r="G3" s="37">
        <v>12.518541247050003</v>
      </c>
    </row>
    <row r="4" spans="1:7">
      <c r="A4" s="27" t="s">
        <v>181</v>
      </c>
      <c r="B4" s="27" t="s">
        <v>180</v>
      </c>
      <c r="C4" s="36">
        <v>18</v>
      </c>
      <c r="D4" s="36">
        <v>90</v>
      </c>
      <c r="E4" s="27" t="s">
        <v>80</v>
      </c>
      <c r="F4" s="27" t="s">
        <v>81</v>
      </c>
      <c r="G4" s="37">
        <v>9.4236937071</v>
      </c>
    </row>
    <row r="5" spans="1:7">
      <c r="A5" s="27" t="s">
        <v>182</v>
      </c>
      <c r="B5" s="27" t="s">
        <v>180</v>
      </c>
      <c r="C5" s="36">
        <v>18</v>
      </c>
      <c r="D5" s="36">
        <v>90</v>
      </c>
      <c r="E5" s="27" t="s">
        <v>80</v>
      </c>
      <c r="F5" s="27" t="s">
        <v>81</v>
      </c>
      <c r="G5" s="37">
        <v>9.4236937071</v>
      </c>
    </row>
    <row r="6" spans="1:7" ht="30">
      <c r="A6" s="27" t="s">
        <v>183</v>
      </c>
      <c r="B6" s="27" t="s">
        <v>184</v>
      </c>
      <c r="C6" s="36">
        <v>20</v>
      </c>
      <c r="D6" s="36">
        <v>90</v>
      </c>
      <c r="E6" s="27" t="s">
        <v>84</v>
      </c>
      <c r="F6" s="27" t="s">
        <v>81</v>
      </c>
      <c r="G6" s="37">
        <v>9.4236937071</v>
      </c>
    </row>
    <row r="7" spans="1:7" ht="30">
      <c r="A7" s="27" t="s">
        <v>185</v>
      </c>
      <c r="B7" s="27" t="s">
        <v>184</v>
      </c>
      <c r="C7" s="36">
        <v>17</v>
      </c>
      <c r="D7" s="36">
        <v>90</v>
      </c>
      <c r="E7" s="27" t="s">
        <v>84</v>
      </c>
      <c r="F7" s="27" t="s">
        <v>81</v>
      </c>
      <c r="G7" s="37">
        <v>9.4236937071</v>
      </c>
    </row>
    <row r="8" spans="1:7" ht="30">
      <c r="A8" s="27" t="s">
        <v>186</v>
      </c>
      <c r="B8" s="27" t="s">
        <v>187</v>
      </c>
      <c r="C8" s="36">
        <v>19</v>
      </c>
      <c r="D8" s="36">
        <v>90</v>
      </c>
      <c r="E8" s="27" t="s">
        <v>84</v>
      </c>
      <c r="F8" s="27" t="s">
        <v>81</v>
      </c>
      <c r="G8" s="37">
        <v>9.4236937071</v>
      </c>
    </row>
    <row r="9" spans="1:7" ht="30">
      <c r="A9" s="27" t="s">
        <v>188</v>
      </c>
      <c r="B9" s="27" t="s">
        <v>187</v>
      </c>
      <c r="C9" s="36">
        <v>12</v>
      </c>
      <c r="D9" s="36">
        <v>90</v>
      </c>
      <c r="E9" s="27" t="s">
        <v>84</v>
      </c>
      <c r="F9" s="27" t="s">
        <v>81</v>
      </c>
      <c r="G9" s="37">
        <v>9.4236937071</v>
      </c>
    </row>
    <row r="10" spans="1:7" ht="30">
      <c r="A10" s="27" t="s">
        <v>191</v>
      </c>
      <c r="B10" s="27" t="s">
        <v>190</v>
      </c>
      <c r="C10" s="36">
        <v>32</v>
      </c>
      <c r="D10" s="36">
        <v>90</v>
      </c>
      <c r="E10" s="27" t="s">
        <v>90</v>
      </c>
      <c r="F10" s="27" t="s">
        <v>91</v>
      </c>
      <c r="G10" s="37">
        <v>12.427424118199999</v>
      </c>
    </row>
    <row r="11" spans="1:7" ht="30">
      <c r="A11" s="27" t="s">
        <v>192</v>
      </c>
      <c r="B11" s="27" t="s">
        <v>193</v>
      </c>
      <c r="C11" s="36">
        <v>31</v>
      </c>
      <c r="D11" s="36">
        <v>90</v>
      </c>
      <c r="E11" s="27" t="s">
        <v>94</v>
      </c>
      <c r="F11" s="27" t="s">
        <v>95</v>
      </c>
      <c r="G11" s="37">
        <v>7.5394480759000002</v>
      </c>
    </row>
    <row r="12" spans="1:7" ht="30">
      <c r="A12" s="27" t="s">
        <v>197</v>
      </c>
      <c r="B12" s="27" t="s">
        <v>193</v>
      </c>
      <c r="C12" s="36">
        <v>32</v>
      </c>
      <c r="D12" s="36">
        <v>90</v>
      </c>
      <c r="E12" s="27" t="s">
        <v>96</v>
      </c>
      <c r="F12" s="27" t="s">
        <v>97</v>
      </c>
      <c r="G12" s="37">
        <v>12.495757043599999</v>
      </c>
    </row>
    <row r="13" spans="1:7" ht="30">
      <c r="A13" s="27" t="s">
        <v>196</v>
      </c>
      <c r="B13" s="27" t="s">
        <v>193</v>
      </c>
      <c r="C13" s="36">
        <v>32</v>
      </c>
      <c r="D13" s="36">
        <v>90</v>
      </c>
      <c r="E13" s="27" t="s">
        <v>96</v>
      </c>
      <c r="F13" s="27" t="s">
        <v>97</v>
      </c>
      <c r="G13" s="37">
        <v>12.495757043599999</v>
      </c>
    </row>
    <row r="14" spans="1:7">
      <c r="A14" s="27" t="s">
        <v>195</v>
      </c>
      <c r="B14" s="27" t="s">
        <v>194</v>
      </c>
      <c r="C14" s="36">
        <v>33</v>
      </c>
      <c r="D14" s="36">
        <v>90</v>
      </c>
      <c r="E14" s="27" t="s">
        <v>98</v>
      </c>
      <c r="F14" s="27" t="s">
        <v>81</v>
      </c>
      <c r="G14" s="37">
        <v>9.4236937071</v>
      </c>
    </row>
    <row r="15" spans="1:7">
      <c r="A15" s="27" t="s">
        <v>198</v>
      </c>
      <c r="B15" s="27" t="s">
        <v>199</v>
      </c>
      <c r="C15" s="36">
        <v>28</v>
      </c>
      <c r="D15" s="36">
        <v>90</v>
      </c>
      <c r="E15" s="27" t="s">
        <v>100</v>
      </c>
      <c r="F15" s="27" t="s">
        <v>81</v>
      </c>
      <c r="G15" s="37">
        <v>9.4236937071</v>
      </c>
    </row>
    <row r="16" spans="1:7">
      <c r="A16" s="34" t="s">
        <v>202</v>
      </c>
      <c r="B16" s="34" t="s">
        <v>203</v>
      </c>
      <c r="C16" s="38">
        <v>29</v>
      </c>
      <c r="D16" s="38">
        <v>90</v>
      </c>
      <c r="E16" s="34" t="s">
        <v>103</v>
      </c>
      <c r="F16" s="34" t="s">
        <v>81</v>
      </c>
      <c r="G16" s="39">
        <v>9.4236937071</v>
      </c>
    </row>
    <row r="17" spans="1:7" ht="30">
      <c r="A17" s="27" t="s">
        <v>213</v>
      </c>
      <c r="B17" s="27" t="s">
        <v>207</v>
      </c>
      <c r="C17" s="36">
        <v>28</v>
      </c>
      <c r="D17" s="36">
        <v>90</v>
      </c>
      <c r="E17" s="27" t="s">
        <v>110</v>
      </c>
      <c r="F17" s="27" t="s">
        <v>111</v>
      </c>
      <c r="G17" s="37">
        <v>1.0839709377</v>
      </c>
    </row>
    <row r="18" spans="1:7" ht="30">
      <c r="A18" s="27" t="s">
        <v>216</v>
      </c>
      <c r="B18" s="27" t="s">
        <v>217</v>
      </c>
      <c r="C18" s="36">
        <v>55</v>
      </c>
      <c r="D18" s="36">
        <v>90</v>
      </c>
      <c r="E18" s="27" t="s">
        <v>116</v>
      </c>
      <c r="F18" s="27" t="s">
        <v>81</v>
      </c>
      <c r="G18" s="37">
        <v>9.4236937071</v>
      </c>
    </row>
    <row r="19" spans="1:7">
      <c r="A19" s="27" t="s">
        <v>220</v>
      </c>
      <c r="B19" s="27" t="s">
        <v>221</v>
      </c>
      <c r="C19" s="36">
        <v>44</v>
      </c>
      <c r="D19" s="36">
        <v>90</v>
      </c>
      <c r="E19" s="27" t="s">
        <v>120</v>
      </c>
      <c r="F19" s="27" t="s">
        <v>121</v>
      </c>
      <c r="G19" s="37">
        <v>3.1428814982</v>
      </c>
    </row>
    <row r="20" spans="1:7" ht="30">
      <c r="A20" s="27" t="s">
        <v>222</v>
      </c>
      <c r="B20" s="27" t="s">
        <v>223</v>
      </c>
      <c r="C20" s="36">
        <v>39</v>
      </c>
      <c r="D20" s="36">
        <v>90</v>
      </c>
      <c r="E20" s="27" t="s">
        <v>123</v>
      </c>
      <c r="F20" s="27" t="s">
        <v>121</v>
      </c>
      <c r="G20" s="37">
        <v>3.1428814982</v>
      </c>
    </row>
    <row r="21" spans="1:7" ht="30">
      <c r="A21" s="27" t="s">
        <v>230</v>
      </c>
      <c r="B21" s="27" t="s">
        <v>231</v>
      </c>
      <c r="C21" s="36">
        <v>47</v>
      </c>
      <c r="D21" s="36">
        <v>90</v>
      </c>
      <c r="E21" s="27" t="s">
        <v>71</v>
      </c>
      <c r="F21" s="27" t="s">
        <v>121</v>
      </c>
      <c r="G21" s="37">
        <v>3.1428814982</v>
      </c>
    </row>
    <row r="22" spans="1:7" ht="30">
      <c r="A22" s="27" t="s">
        <v>232</v>
      </c>
      <c r="B22" s="27" t="s">
        <v>233</v>
      </c>
      <c r="C22" s="36">
        <v>45</v>
      </c>
      <c r="D22" s="36">
        <v>90</v>
      </c>
      <c r="E22" s="27" t="s">
        <v>84</v>
      </c>
      <c r="F22" s="27" t="s">
        <v>81</v>
      </c>
      <c r="G22" s="37">
        <v>9.4236937071</v>
      </c>
    </row>
    <row r="23" spans="1:7" ht="30">
      <c r="A23" s="27" t="s">
        <v>235</v>
      </c>
      <c r="B23" s="27" t="s">
        <v>233</v>
      </c>
      <c r="C23" s="36">
        <v>45</v>
      </c>
      <c r="D23" s="36">
        <v>90</v>
      </c>
      <c r="E23" s="27" t="s">
        <v>84</v>
      </c>
      <c r="F23" s="27" t="s">
        <v>131</v>
      </c>
      <c r="G23" s="37">
        <v>9.4236937071</v>
      </c>
    </row>
    <row r="24" spans="1:7" ht="30">
      <c r="A24" s="27" t="s">
        <v>234</v>
      </c>
      <c r="B24" s="27" t="s">
        <v>233</v>
      </c>
      <c r="C24" s="36">
        <v>45</v>
      </c>
      <c r="D24" s="36">
        <v>90</v>
      </c>
      <c r="E24" s="27" t="s">
        <v>84</v>
      </c>
      <c r="F24" s="27" t="s">
        <v>81</v>
      </c>
      <c r="G24" s="37">
        <v>9.4236937071</v>
      </c>
    </row>
    <row r="25" spans="1:7">
      <c r="A25" s="27" t="s">
        <v>236</v>
      </c>
      <c r="B25" s="27" t="s">
        <v>237</v>
      </c>
      <c r="C25" s="36">
        <v>51</v>
      </c>
      <c r="D25" s="36">
        <v>90</v>
      </c>
      <c r="E25" s="27" t="s">
        <v>80</v>
      </c>
      <c r="F25" s="27" t="s">
        <v>81</v>
      </c>
      <c r="G25" s="37">
        <v>9.4236937071</v>
      </c>
    </row>
    <row r="26" spans="1:7">
      <c r="A26" s="27" t="s">
        <v>238</v>
      </c>
      <c r="B26" s="27" t="s">
        <v>237</v>
      </c>
      <c r="C26" s="36">
        <v>51</v>
      </c>
      <c r="D26" s="36">
        <v>90</v>
      </c>
      <c r="E26" s="27" t="s">
        <v>80</v>
      </c>
      <c r="F26" s="27" t="s">
        <v>81</v>
      </c>
      <c r="G26" s="37">
        <v>9.4236937071</v>
      </c>
    </row>
  </sheetData>
  <sheetProtection algorithmName="SHA-512" hashValue="KLi/tbieKOkt5cq5C0M147mkoO4bdsHTdrELNfLcecoSCYY8XL9B7RMqD5Rj/l1npeRoFUy9EWq7Z7mb1nVSOw==" saltValue="TNuaXfL4tdqa279Ob/qLVw==" spinCount="100000" sheet="1"/>
  <printOptions gridLines="1"/>
  <pageMargins left="0.7" right="0.7" top="0.75" bottom="0.75" header="0.3" footer="0.3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8"/>
  <sheetViews>
    <sheetView workbookViewId="0">
      <selection activeCell="C17" sqref="C17"/>
    </sheetView>
  </sheetViews>
  <sheetFormatPr defaultRowHeight="15"/>
  <cols>
    <col min="1" max="1" width="3" bestFit="1" customWidth="1"/>
    <col min="2" max="2" width="7.5703125" bestFit="1" customWidth="1"/>
    <col min="3" max="3" width="23" bestFit="1" customWidth="1"/>
    <col min="6" max="6" width="10.42578125" bestFit="1" customWidth="1"/>
    <col min="7" max="7" width="5.5703125" bestFit="1" customWidth="1"/>
    <col min="8" max="8" width="7.85546875" bestFit="1" customWidth="1"/>
    <col min="9" max="9" width="10.42578125" style="62" bestFit="1" customWidth="1"/>
    <col min="10" max="10" width="9.140625" style="62"/>
    <col min="12" max="12" width="10.42578125" bestFit="1" customWidth="1"/>
  </cols>
  <sheetData>
    <row r="1" spans="1:14" s="98" customFormat="1" ht="30" customHeight="1">
      <c r="E1" s="121"/>
      <c r="F1" s="115" t="s">
        <v>253</v>
      </c>
      <c r="G1" s="116" t="s">
        <v>312</v>
      </c>
      <c r="I1" s="115" t="s">
        <v>253</v>
      </c>
      <c r="J1" s="116" t="s">
        <v>313</v>
      </c>
      <c r="L1" s="115" t="s">
        <v>253</v>
      </c>
      <c r="M1" s="116" t="s">
        <v>314</v>
      </c>
    </row>
    <row r="2" spans="1:14" s="62" customFormat="1">
      <c r="E2" s="66"/>
      <c r="F2" s="117" t="s">
        <v>286</v>
      </c>
      <c r="G2" s="120">
        <v>39</v>
      </c>
      <c r="I2" s="117" t="s">
        <v>286</v>
      </c>
      <c r="J2" s="99">
        <v>35</v>
      </c>
      <c r="L2" s="117" t="s">
        <v>286</v>
      </c>
      <c r="M2" s="99">
        <v>36</v>
      </c>
    </row>
    <row r="3" spans="1:14" s="62" customFormat="1">
      <c r="E3" s="66"/>
      <c r="F3" s="117" t="s">
        <v>248</v>
      </c>
      <c r="G3" s="99">
        <v>61</v>
      </c>
      <c r="I3" s="117" t="s">
        <v>248</v>
      </c>
      <c r="J3" s="99">
        <v>56</v>
      </c>
      <c r="L3" s="117" t="s">
        <v>248</v>
      </c>
      <c r="M3" s="99">
        <v>60</v>
      </c>
    </row>
    <row r="4" spans="1:14" s="62" customFormat="1">
      <c r="E4" s="66"/>
      <c r="F4" s="117" t="s">
        <v>249</v>
      </c>
      <c r="G4" s="99">
        <v>74</v>
      </c>
      <c r="I4" s="117" t="s">
        <v>249</v>
      </c>
      <c r="J4" s="99">
        <v>70</v>
      </c>
      <c r="L4" s="117" t="s">
        <v>249</v>
      </c>
      <c r="M4" s="99">
        <v>73</v>
      </c>
    </row>
    <row r="5" spans="1:14" s="62" customFormat="1" ht="15.75" thickBot="1">
      <c r="E5" s="66"/>
      <c r="F5" s="118" t="s">
        <v>287</v>
      </c>
      <c r="G5" s="119">
        <v>80</v>
      </c>
      <c r="I5" s="118" t="s">
        <v>287</v>
      </c>
      <c r="J5" s="119">
        <v>77</v>
      </c>
      <c r="L5" s="118" t="s">
        <v>287</v>
      </c>
      <c r="M5" s="119">
        <v>79</v>
      </c>
    </row>
    <row r="6" spans="1:14" ht="15.75" thickBot="1">
      <c r="D6" s="66"/>
      <c r="E6" s="66"/>
      <c r="F6" s="66"/>
      <c r="G6" s="66"/>
      <c r="H6" s="66"/>
    </row>
    <row r="7" spans="1:14">
      <c r="A7" s="112"/>
      <c r="B7" s="252" t="s">
        <v>147</v>
      </c>
      <c r="C7" s="252" t="s">
        <v>146</v>
      </c>
      <c r="D7" s="248" t="s">
        <v>253</v>
      </c>
      <c r="E7" s="249"/>
      <c r="F7" s="243" t="s">
        <v>315</v>
      </c>
      <c r="G7" s="244"/>
      <c r="H7" s="245"/>
      <c r="I7" s="243" t="s">
        <v>310</v>
      </c>
      <c r="J7" s="244"/>
      <c r="K7" s="245"/>
      <c r="L7" s="243" t="s">
        <v>311</v>
      </c>
      <c r="M7" s="244"/>
      <c r="N7" s="245"/>
    </row>
    <row r="8" spans="1:14" ht="15" customHeight="1" thickBot="1">
      <c r="A8" s="113"/>
      <c r="B8" s="253"/>
      <c r="C8" s="253"/>
      <c r="D8" s="250"/>
      <c r="E8" s="251"/>
      <c r="F8" s="246" t="s">
        <v>257</v>
      </c>
      <c r="G8" s="247"/>
      <c r="H8" s="108" t="s">
        <v>288</v>
      </c>
      <c r="I8" s="246" t="s">
        <v>257</v>
      </c>
      <c r="J8" s="247"/>
      <c r="K8" s="108" t="s">
        <v>288</v>
      </c>
      <c r="L8" s="246" t="s">
        <v>257</v>
      </c>
      <c r="M8" s="247"/>
      <c r="N8" s="108" t="s">
        <v>288</v>
      </c>
    </row>
    <row r="9" spans="1:14" ht="16.5" thickTop="1">
      <c r="A9" s="114">
        <v>1</v>
      </c>
      <c r="B9" s="109" t="s">
        <v>138</v>
      </c>
      <c r="C9" s="109" t="s">
        <v>139</v>
      </c>
      <c r="D9" s="105" t="s">
        <v>248</v>
      </c>
      <c r="E9" s="106" t="s">
        <v>287</v>
      </c>
      <c r="F9" s="105">
        <f>VLOOKUP(D9,F$2:G$5,2)</f>
        <v>61</v>
      </c>
      <c r="G9" s="107">
        <f>VLOOKUP(E9,F$2:G$5,2)</f>
        <v>80</v>
      </c>
      <c r="H9" s="106">
        <f>AVERAGEIF(F9:G9,"&gt;0")</f>
        <v>70.5</v>
      </c>
      <c r="I9" s="105">
        <f>VLOOKUP(D9,I$2:J$5,2)</f>
        <v>56</v>
      </c>
      <c r="J9" s="107">
        <f>VLOOKUP(E9,I$2:J$5,2)</f>
        <v>77</v>
      </c>
      <c r="K9" s="106">
        <f>AVERAGEIF(I9:J9,"&gt;0")</f>
        <v>66.5</v>
      </c>
      <c r="L9" s="105">
        <f>VLOOKUP(D9,L$2:M$5,2)</f>
        <v>60</v>
      </c>
      <c r="M9" s="107">
        <f>VLOOKUP(E9,L$2:M$5,2)</f>
        <v>79</v>
      </c>
      <c r="N9" s="106">
        <f>AVERAGEIF(L9:M9,"&gt;0")</f>
        <v>69.5</v>
      </c>
    </row>
    <row r="10" spans="1:14" ht="15.75">
      <c r="A10" s="112">
        <v>2</v>
      </c>
      <c r="B10" s="110" t="s">
        <v>140</v>
      </c>
      <c r="C10" s="110" t="s">
        <v>141</v>
      </c>
      <c r="D10" s="100" t="s">
        <v>286</v>
      </c>
      <c r="E10" s="101" t="s">
        <v>287</v>
      </c>
      <c r="F10" s="100">
        <f t="shared" ref="F10:F68" si="0">VLOOKUP(D10,F$2:G$5,2)</f>
        <v>39</v>
      </c>
      <c r="G10" s="67">
        <f t="shared" ref="G10:G68" si="1">VLOOKUP(E10,F$2:G$5,2)</f>
        <v>80</v>
      </c>
      <c r="H10" s="101">
        <f t="shared" ref="H10:H68" si="2">AVERAGEIF(F10:G10,"&gt;0")</f>
        <v>59.5</v>
      </c>
      <c r="I10" s="100">
        <f t="shared" ref="I10:I68" si="3">VLOOKUP(D10,I$2:J$5,2)</f>
        <v>35</v>
      </c>
      <c r="J10" s="67">
        <f t="shared" ref="J10:J68" si="4">VLOOKUP(E10,I$2:J$5,2)</f>
        <v>77</v>
      </c>
      <c r="K10" s="101">
        <f t="shared" ref="K10:K68" si="5">AVERAGEIF(I10:J10,"&gt;0")</f>
        <v>56</v>
      </c>
      <c r="L10" s="100">
        <f t="shared" ref="L10:L68" si="6">VLOOKUP(D10,L$2:M$5,2)</f>
        <v>36</v>
      </c>
      <c r="M10" s="67">
        <f t="shared" ref="M10:M68" si="7">VLOOKUP(E10,L$2:M$5,2)</f>
        <v>79</v>
      </c>
      <c r="N10" s="101">
        <f t="shared" ref="N10:N68" si="8">AVERAGEIF(L10:M10,"&gt;0")</f>
        <v>57.5</v>
      </c>
    </row>
    <row r="11" spans="1:14" ht="15.75">
      <c r="A11" s="112">
        <v>3</v>
      </c>
      <c r="B11" s="110" t="s">
        <v>142</v>
      </c>
      <c r="C11" s="110" t="s">
        <v>143</v>
      </c>
      <c r="D11" s="100" t="s">
        <v>248</v>
      </c>
      <c r="E11" s="101" t="s">
        <v>287</v>
      </c>
      <c r="F11" s="100">
        <f t="shared" si="0"/>
        <v>61</v>
      </c>
      <c r="G11" s="67">
        <f t="shared" si="1"/>
        <v>80</v>
      </c>
      <c r="H11" s="101">
        <f t="shared" si="2"/>
        <v>70.5</v>
      </c>
      <c r="I11" s="100">
        <f t="shared" si="3"/>
        <v>56</v>
      </c>
      <c r="J11" s="67">
        <f t="shared" si="4"/>
        <v>77</v>
      </c>
      <c r="K11" s="101">
        <f t="shared" si="5"/>
        <v>66.5</v>
      </c>
      <c r="L11" s="100">
        <f t="shared" si="6"/>
        <v>60</v>
      </c>
      <c r="M11" s="67">
        <f t="shared" si="7"/>
        <v>79</v>
      </c>
      <c r="N11" s="101">
        <f t="shared" si="8"/>
        <v>69.5</v>
      </c>
    </row>
    <row r="12" spans="1:14" ht="15.75">
      <c r="A12" s="112">
        <v>4</v>
      </c>
      <c r="B12" s="110" t="s">
        <v>241</v>
      </c>
      <c r="C12" s="110" t="s">
        <v>163</v>
      </c>
      <c r="D12" s="100" t="s">
        <v>286</v>
      </c>
      <c r="E12" s="101" t="s">
        <v>287</v>
      </c>
      <c r="F12" s="100">
        <f t="shared" si="0"/>
        <v>39</v>
      </c>
      <c r="G12" s="67">
        <f t="shared" si="1"/>
        <v>80</v>
      </c>
      <c r="H12" s="101">
        <f t="shared" si="2"/>
        <v>59.5</v>
      </c>
      <c r="I12" s="100">
        <f t="shared" si="3"/>
        <v>35</v>
      </c>
      <c r="J12" s="67">
        <f t="shared" si="4"/>
        <v>77</v>
      </c>
      <c r="K12" s="101">
        <f t="shared" si="5"/>
        <v>56</v>
      </c>
      <c r="L12" s="100">
        <f t="shared" si="6"/>
        <v>36</v>
      </c>
      <c r="M12" s="67">
        <f t="shared" si="7"/>
        <v>79</v>
      </c>
      <c r="N12" s="101">
        <f t="shared" si="8"/>
        <v>57.5</v>
      </c>
    </row>
    <row r="13" spans="1:14" ht="15.75">
      <c r="A13" s="112">
        <v>5</v>
      </c>
      <c r="B13" s="110" t="s">
        <v>242</v>
      </c>
      <c r="C13" s="110" t="s">
        <v>201</v>
      </c>
      <c r="D13" s="100" t="s">
        <v>249</v>
      </c>
      <c r="E13" s="101" t="s">
        <v>287</v>
      </c>
      <c r="F13" s="100">
        <f t="shared" si="0"/>
        <v>74</v>
      </c>
      <c r="G13" s="67">
        <f t="shared" si="1"/>
        <v>80</v>
      </c>
      <c r="H13" s="101">
        <f t="shared" si="2"/>
        <v>77</v>
      </c>
      <c r="I13" s="100">
        <f t="shared" si="3"/>
        <v>70</v>
      </c>
      <c r="J13" s="67">
        <f t="shared" si="4"/>
        <v>77</v>
      </c>
      <c r="K13" s="101">
        <f t="shared" si="5"/>
        <v>73.5</v>
      </c>
      <c r="L13" s="100">
        <f t="shared" si="6"/>
        <v>73</v>
      </c>
      <c r="M13" s="67">
        <f t="shared" si="7"/>
        <v>79</v>
      </c>
      <c r="N13" s="101">
        <f t="shared" si="8"/>
        <v>76</v>
      </c>
    </row>
    <row r="14" spans="1:14" ht="15.75">
      <c r="A14" s="112">
        <v>6</v>
      </c>
      <c r="B14" s="110" t="s">
        <v>144</v>
      </c>
      <c r="C14" s="110" t="s">
        <v>145</v>
      </c>
      <c r="D14" s="100" t="s">
        <v>248</v>
      </c>
      <c r="E14" s="101"/>
      <c r="F14" s="100">
        <f t="shared" si="0"/>
        <v>61</v>
      </c>
      <c r="G14" s="67" t="e">
        <f t="shared" si="1"/>
        <v>#N/A</v>
      </c>
      <c r="H14" s="101">
        <f t="shared" si="2"/>
        <v>61</v>
      </c>
      <c r="I14" s="100">
        <f t="shared" si="3"/>
        <v>56</v>
      </c>
      <c r="J14" s="67" t="e">
        <f t="shared" si="4"/>
        <v>#N/A</v>
      </c>
      <c r="K14" s="101">
        <f t="shared" si="5"/>
        <v>56</v>
      </c>
      <c r="L14" s="100">
        <f t="shared" si="6"/>
        <v>60</v>
      </c>
      <c r="M14" s="67" t="e">
        <f t="shared" si="7"/>
        <v>#N/A</v>
      </c>
      <c r="N14" s="101">
        <f t="shared" si="8"/>
        <v>60</v>
      </c>
    </row>
    <row r="15" spans="1:14" ht="15.75">
      <c r="A15" s="112">
        <v>7</v>
      </c>
      <c r="B15" s="110" t="s">
        <v>148</v>
      </c>
      <c r="C15" s="110" t="s">
        <v>149</v>
      </c>
      <c r="D15" s="100" t="s">
        <v>249</v>
      </c>
      <c r="E15" s="101" t="s">
        <v>287</v>
      </c>
      <c r="F15" s="100">
        <f t="shared" si="0"/>
        <v>74</v>
      </c>
      <c r="G15" s="67">
        <f t="shared" si="1"/>
        <v>80</v>
      </c>
      <c r="H15" s="101">
        <f t="shared" si="2"/>
        <v>77</v>
      </c>
      <c r="I15" s="100">
        <f t="shared" si="3"/>
        <v>70</v>
      </c>
      <c r="J15" s="67">
        <f t="shared" si="4"/>
        <v>77</v>
      </c>
      <c r="K15" s="101">
        <f t="shared" si="5"/>
        <v>73.5</v>
      </c>
      <c r="L15" s="100">
        <f t="shared" si="6"/>
        <v>73</v>
      </c>
      <c r="M15" s="67">
        <f t="shared" si="7"/>
        <v>79</v>
      </c>
      <c r="N15" s="101">
        <f t="shared" si="8"/>
        <v>76</v>
      </c>
    </row>
    <row r="16" spans="1:14" ht="15.75">
      <c r="A16" s="112">
        <v>8</v>
      </c>
      <c r="B16" s="110" t="s">
        <v>150</v>
      </c>
      <c r="C16" s="110" t="s">
        <v>151</v>
      </c>
      <c r="D16" s="100" t="s">
        <v>248</v>
      </c>
      <c r="E16" s="101" t="s">
        <v>287</v>
      </c>
      <c r="F16" s="100">
        <f t="shared" si="0"/>
        <v>61</v>
      </c>
      <c r="G16" s="67">
        <f t="shared" si="1"/>
        <v>80</v>
      </c>
      <c r="H16" s="101">
        <f t="shared" si="2"/>
        <v>70.5</v>
      </c>
      <c r="I16" s="100">
        <f t="shared" si="3"/>
        <v>56</v>
      </c>
      <c r="J16" s="67">
        <f t="shared" si="4"/>
        <v>77</v>
      </c>
      <c r="K16" s="101">
        <f t="shared" si="5"/>
        <v>66.5</v>
      </c>
      <c r="L16" s="100">
        <f t="shared" si="6"/>
        <v>60</v>
      </c>
      <c r="M16" s="67">
        <f t="shared" si="7"/>
        <v>79</v>
      </c>
      <c r="N16" s="101">
        <f t="shared" si="8"/>
        <v>69.5</v>
      </c>
    </row>
    <row r="17" spans="1:14" ht="15.75">
      <c r="A17" s="112">
        <v>9</v>
      </c>
      <c r="B17" s="110" t="s">
        <v>152</v>
      </c>
      <c r="C17" s="110" t="s">
        <v>153</v>
      </c>
      <c r="D17" s="100" t="s">
        <v>249</v>
      </c>
      <c r="E17" s="101" t="s">
        <v>287</v>
      </c>
      <c r="F17" s="100">
        <f t="shared" si="0"/>
        <v>74</v>
      </c>
      <c r="G17" s="67">
        <f t="shared" si="1"/>
        <v>80</v>
      </c>
      <c r="H17" s="101">
        <f t="shared" si="2"/>
        <v>77</v>
      </c>
      <c r="I17" s="100">
        <f t="shared" si="3"/>
        <v>70</v>
      </c>
      <c r="J17" s="67">
        <f t="shared" si="4"/>
        <v>77</v>
      </c>
      <c r="K17" s="101">
        <f t="shared" si="5"/>
        <v>73.5</v>
      </c>
      <c r="L17" s="100">
        <f t="shared" si="6"/>
        <v>73</v>
      </c>
      <c r="M17" s="67">
        <f t="shared" si="7"/>
        <v>79</v>
      </c>
      <c r="N17" s="101">
        <f t="shared" si="8"/>
        <v>76</v>
      </c>
    </row>
    <row r="18" spans="1:14" ht="15.75">
      <c r="A18" s="112">
        <v>10</v>
      </c>
      <c r="B18" s="110" t="s">
        <v>154</v>
      </c>
      <c r="C18" s="110" t="s">
        <v>155</v>
      </c>
      <c r="D18" s="100" t="s">
        <v>248</v>
      </c>
      <c r="E18" s="101" t="s">
        <v>287</v>
      </c>
      <c r="F18" s="100">
        <f t="shared" si="0"/>
        <v>61</v>
      </c>
      <c r="G18" s="67">
        <f t="shared" si="1"/>
        <v>80</v>
      </c>
      <c r="H18" s="101">
        <f t="shared" si="2"/>
        <v>70.5</v>
      </c>
      <c r="I18" s="100">
        <f t="shared" si="3"/>
        <v>56</v>
      </c>
      <c r="J18" s="67">
        <f t="shared" si="4"/>
        <v>77</v>
      </c>
      <c r="K18" s="101">
        <f t="shared" si="5"/>
        <v>66.5</v>
      </c>
      <c r="L18" s="100">
        <f t="shared" si="6"/>
        <v>60</v>
      </c>
      <c r="M18" s="67">
        <f t="shared" si="7"/>
        <v>79</v>
      </c>
      <c r="N18" s="101">
        <f t="shared" si="8"/>
        <v>69.5</v>
      </c>
    </row>
    <row r="19" spans="1:14" ht="15.75">
      <c r="A19" s="112">
        <v>11</v>
      </c>
      <c r="B19" s="110" t="s">
        <v>157</v>
      </c>
      <c r="C19" s="110" t="s">
        <v>156</v>
      </c>
      <c r="D19" s="100" t="s">
        <v>248</v>
      </c>
      <c r="E19" s="101"/>
      <c r="F19" s="100">
        <f t="shared" si="0"/>
        <v>61</v>
      </c>
      <c r="G19" s="67" t="e">
        <f t="shared" si="1"/>
        <v>#N/A</v>
      </c>
      <c r="H19" s="101">
        <f t="shared" si="2"/>
        <v>61</v>
      </c>
      <c r="I19" s="100">
        <f t="shared" si="3"/>
        <v>56</v>
      </c>
      <c r="J19" s="67" t="e">
        <f t="shared" si="4"/>
        <v>#N/A</v>
      </c>
      <c r="K19" s="101">
        <f t="shared" si="5"/>
        <v>56</v>
      </c>
      <c r="L19" s="100">
        <f t="shared" si="6"/>
        <v>60</v>
      </c>
      <c r="M19" s="67" t="e">
        <f t="shared" si="7"/>
        <v>#N/A</v>
      </c>
      <c r="N19" s="101">
        <f t="shared" si="8"/>
        <v>60</v>
      </c>
    </row>
    <row r="20" spans="1:14" ht="15.75">
      <c r="A20" s="112">
        <v>12</v>
      </c>
      <c r="B20" s="110" t="s">
        <v>159</v>
      </c>
      <c r="C20" s="110" t="s">
        <v>158</v>
      </c>
      <c r="D20" s="100" t="s">
        <v>249</v>
      </c>
      <c r="E20" s="101"/>
      <c r="F20" s="100">
        <f t="shared" si="0"/>
        <v>74</v>
      </c>
      <c r="G20" s="67" t="e">
        <f t="shared" si="1"/>
        <v>#N/A</v>
      </c>
      <c r="H20" s="101">
        <f t="shared" si="2"/>
        <v>74</v>
      </c>
      <c r="I20" s="100">
        <f t="shared" si="3"/>
        <v>70</v>
      </c>
      <c r="J20" s="67" t="e">
        <f t="shared" si="4"/>
        <v>#N/A</v>
      </c>
      <c r="K20" s="101">
        <f t="shared" si="5"/>
        <v>70</v>
      </c>
      <c r="L20" s="100">
        <f t="shared" si="6"/>
        <v>73</v>
      </c>
      <c r="M20" s="67" t="e">
        <f t="shared" si="7"/>
        <v>#N/A</v>
      </c>
      <c r="N20" s="101">
        <f t="shared" si="8"/>
        <v>73</v>
      </c>
    </row>
    <row r="21" spans="1:14" ht="15.75">
      <c r="A21" s="112">
        <v>13</v>
      </c>
      <c r="B21" s="110" t="s">
        <v>160</v>
      </c>
      <c r="C21" s="110" t="s">
        <v>161</v>
      </c>
      <c r="D21" s="100" t="s">
        <v>249</v>
      </c>
      <c r="E21" s="101" t="s">
        <v>287</v>
      </c>
      <c r="F21" s="100">
        <f t="shared" si="0"/>
        <v>74</v>
      </c>
      <c r="G21" s="67">
        <f t="shared" si="1"/>
        <v>80</v>
      </c>
      <c r="H21" s="101">
        <f t="shared" si="2"/>
        <v>77</v>
      </c>
      <c r="I21" s="100">
        <f t="shared" si="3"/>
        <v>70</v>
      </c>
      <c r="J21" s="67">
        <f t="shared" si="4"/>
        <v>77</v>
      </c>
      <c r="K21" s="101">
        <f t="shared" si="5"/>
        <v>73.5</v>
      </c>
      <c r="L21" s="100">
        <f t="shared" si="6"/>
        <v>73</v>
      </c>
      <c r="M21" s="67">
        <f t="shared" si="7"/>
        <v>79</v>
      </c>
      <c r="N21" s="101">
        <f t="shared" si="8"/>
        <v>76</v>
      </c>
    </row>
    <row r="22" spans="1:14" ht="15.75">
      <c r="A22" s="112">
        <v>14</v>
      </c>
      <c r="B22" s="110" t="s">
        <v>162</v>
      </c>
      <c r="C22" s="110" t="s">
        <v>163</v>
      </c>
      <c r="D22" s="100" t="s">
        <v>286</v>
      </c>
      <c r="E22" s="101" t="s">
        <v>287</v>
      </c>
      <c r="F22" s="100">
        <f t="shared" si="0"/>
        <v>39</v>
      </c>
      <c r="G22" s="67">
        <f t="shared" si="1"/>
        <v>80</v>
      </c>
      <c r="H22" s="101">
        <f t="shared" si="2"/>
        <v>59.5</v>
      </c>
      <c r="I22" s="100">
        <f t="shared" si="3"/>
        <v>35</v>
      </c>
      <c r="J22" s="67">
        <f t="shared" si="4"/>
        <v>77</v>
      </c>
      <c r="K22" s="101">
        <f t="shared" si="5"/>
        <v>56</v>
      </c>
      <c r="L22" s="100">
        <f t="shared" si="6"/>
        <v>36</v>
      </c>
      <c r="M22" s="67">
        <f t="shared" si="7"/>
        <v>79</v>
      </c>
      <c r="N22" s="101">
        <f t="shared" si="8"/>
        <v>57.5</v>
      </c>
    </row>
    <row r="23" spans="1:14" ht="15.75">
      <c r="A23" s="112">
        <v>15</v>
      </c>
      <c r="B23" s="110" t="s">
        <v>164</v>
      </c>
      <c r="C23" s="110" t="s">
        <v>165</v>
      </c>
      <c r="D23" s="100" t="s">
        <v>249</v>
      </c>
      <c r="E23" s="101" t="s">
        <v>287</v>
      </c>
      <c r="F23" s="100">
        <f t="shared" si="0"/>
        <v>74</v>
      </c>
      <c r="G23" s="67">
        <f t="shared" si="1"/>
        <v>80</v>
      </c>
      <c r="H23" s="101">
        <f t="shared" si="2"/>
        <v>77</v>
      </c>
      <c r="I23" s="100">
        <f t="shared" si="3"/>
        <v>70</v>
      </c>
      <c r="J23" s="67">
        <f t="shared" si="4"/>
        <v>77</v>
      </c>
      <c r="K23" s="101">
        <f t="shared" si="5"/>
        <v>73.5</v>
      </c>
      <c r="L23" s="100">
        <f t="shared" si="6"/>
        <v>73</v>
      </c>
      <c r="M23" s="67">
        <f t="shared" si="7"/>
        <v>79</v>
      </c>
      <c r="N23" s="101">
        <f t="shared" si="8"/>
        <v>76</v>
      </c>
    </row>
    <row r="24" spans="1:14" ht="15.75">
      <c r="A24" s="112">
        <v>16</v>
      </c>
      <c r="B24" s="110" t="s">
        <v>166</v>
      </c>
      <c r="C24" s="110" t="s">
        <v>167</v>
      </c>
      <c r="D24" s="100" t="s">
        <v>249</v>
      </c>
      <c r="E24" s="101"/>
      <c r="F24" s="100">
        <f t="shared" si="0"/>
        <v>74</v>
      </c>
      <c r="G24" s="67" t="e">
        <f t="shared" si="1"/>
        <v>#N/A</v>
      </c>
      <c r="H24" s="101">
        <f t="shared" si="2"/>
        <v>74</v>
      </c>
      <c r="I24" s="100">
        <f t="shared" si="3"/>
        <v>70</v>
      </c>
      <c r="J24" s="67" t="e">
        <f t="shared" si="4"/>
        <v>#N/A</v>
      </c>
      <c r="K24" s="101">
        <f t="shared" si="5"/>
        <v>70</v>
      </c>
      <c r="L24" s="100">
        <f t="shared" si="6"/>
        <v>73</v>
      </c>
      <c r="M24" s="67" t="e">
        <f t="shared" si="7"/>
        <v>#N/A</v>
      </c>
      <c r="N24" s="101">
        <f t="shared" si="8"/>
        <v>73</v>
      </c>
    </row>
    <row r="25" spans="1:14" ht="15.75">
      <c r="A25" s="112">
        <v>17</v>
      </c>
      <c r="B25" s="110" t="s">
        <v>168</v>
      </c>
      <c r="C25" s="110" t="s">
        <v>169</v>
      </c>
      <c r="D25" s="100" t="s">
        <v>249</v>
      </c>
      <c r="E25" s="101" t="s">
        <v>287</v>
      </c>
      <c r="F25" s="100">
        <f t="shared" si="0"/>
        <v>74</v>
      </c>
      <c r="G25" s="67">
        <f t="shared" si="1"/>
        <v>80</v>
      </c>
      <c r="H25" s="101">
        <f t="shared" si="2"/>
        <v>77</v>
      </c>
      <c r="I25" s="100">
        <f t="shared" si="3"/>
        <v>70</v>
      </c>
      <c r="J25" s="67">
        <f t="shared" si="4"/>
        <v>77</v>
      </c>
      <c r="K25" s="101">
        <f t="shared" si="5"/>
        <v>73.5</v>
      </c>
      <c r="L25" s="100">
        <f t="shared" si="6"/>
        <v>73</v>
      </c>
      <c r="M25" s="67">
        <f t="shared" si="7"/>
        <v>79</v>
      </c>
      <c r="N25" s="101">
        <f t="shared" si="8"/>
        <v>76</v>
      </c>
    </row>
    <row r="26" spans="1:14" ht="15.75">
      <c r="A26" s="112">
        <v>18</v>
      </c>
      <c r="B26" s="110" t="s">
        <v>170</v>
      </c>
      <c r="C26" s="110" t="s">
        <v>171</v>
      </c>
      <c r="D26" s="100" t="s">
        <v>248</v>
      </c>
      <c r="E26" s="101"/>
      <c r="F26" s="100">
        <f t="shared" si="0"/>
        <v>61</v>
      </c>
      <c r="G26" s="67" t="e">
        <f t="shared" si="1"/>
        <v>#N/A</v>
      </c>
      <c r="H26" s="101">
        <f t="shared" si="2"/>
        <v>61</v>
      </c>
      <c r="I26" s="100">
        <f t="shared" si="3"/>
        <v>56</v>
      </c>
      <c r="J26" s="67" t="e">
        <f t="shared" si="4"/>
        <v>#N/A</v>
      </c>
      <c r="K26" s="101">
        <f t="shared" si="5"/>
        <v>56</v>
      </c>
      <c r="L26" s="100">
        <f t="shared" si="6"/>
        <v>60</v>
      </c>
      <c r="M26" s="67" t="e">
        <f t="shared" si="7"/>
        <v>#N/A</v>
      </c>
      <c r="N26" s="101">
        <f t="shared" si="8"/>
        <v>60</v>
      </c>
    </row>
    <row r="27" spans="1:14" ht="15.75">
      <c r="A27" s="112">
        <v>19</v>
      </c>
      <c r="B27" s="110" t="s">
        <v>172</v>
      </c>
      <c r="C27" s="110" t="s">
        <v>171</v>
      </c>
      <c r="D27" s="100" t="s">
        <v>248</v>
      </c>
      <c r="E27" s="101"/>
      <c r="F27" s="100">
        <f t="shared" si="0"/>
        <v>61</v>
      </c>
      <c r="G27" s="67" t="e">
        <f t="shared" si="1"/>
        <v>#N/A</v>
      </c>
      <c r="H27" s="101">
        <f t="shared" si="2"/>
        <v>61</v>
      </c>
      <c r="I27" s="100">
        <f t="shared" si="3"/>
        <v>56</v>
      </c>
      <c r="J27" s="67" t="e">
        <f t="shared" si="4"/>
        <v>#N/A</v>
      </c>
      <c r="K27" s="101">
        <f t="shared" si="5"/>
        <v>56</v>
      </c>
      <c r="L27" s="100">
        <f t="shared" si="6"/>
        <v>60</v>
      </c>
      <c r="M27" s="67" t="e">
        <f t="shared" si="7"/>
        <v>#N/A</v>
      </c>
      <c r="N27" s="101">
        <f t="shared" si="8"/>
        <v>60</v>
      </c>
    </row>
    <row r="28" spans="1:14" ht="15.75">
      <c r="A28" s="112">
        <v>20</v>
      </c>
      <c r="B28" s="110" t="s">
        <v>173</v>
      </c>
      <c r="C28" s="110" t="s">
        <v>171</v>
      </c>
      <c r="D28" s="100" t="s">
        <v>248</v>
      </c>
      <c r="E28" s="101"/>
      <c r="F28" s="100">
        <f t="shared" si="0"/>
        <v>61</v>
      </c>
      <c r="G28" s="67" t="e">
        <f t="shared" si="1"/>
        <v>#N/A</v>
      </c>
      <c r="H28" s="101">
        <f t="shared" si="2"/>
        <v>61</v>
      </c>
      <c r="I28" s="100">
        <f t="shared" si="3"/>
        <v>56</v>
      </c>
      <c r="J28" s="67" t="e">
        <f t="shared" si="4"/>
        <v>#N/A</v>
      </c>
      <c r="K28" s="101">
        <f t="shared" si="5"/>
        <v>56</v>
      </c>
      <c r="L28" s="100">
        <f t="shared" si="6"/>
        <v>60</v>
      </c>
      <c r="M28" s="67" t="e">
        <f t="shared" si="7"/>
        <v>#N/A</v>
      </c>
      <c r="N28" s="101">
        <f t="shared" si="8"/>
        <v>60</v>
      </c>
    </row>
    <row r="29" spans="1:14" ht="15.75">
      <c r="A29" s="112">
        <v>21</v>
      </c>
      <c r="B29" s="110" t="s">
        <v>175</v>
      </c>
      <c r="C29" s="110" t="s">
        <v>174</v>
      </c>
      <c r="D29" s="100" t="s">
        <v>248</v>
      </c>
      <c r="E29" s="101"/>
      <c r="F29" s="100">
        <f t="shared" si="0"/>
        <v>61</v>
      </c>
      <c r="G29" s="67" t="e">
        <f t="shared" si="1"/>
        <v>#N/A</v>
      </c>
      <c r="H29" s="101">
        <f t="shared" si="2"/>
        <v>61</v>
      </c>
      <c r="I29" s="100">
        <f t="shared" si="3"/>
        <v>56</v>
      </c>
      <c r="J29" s="67" t="e">
        <f t="shared" si="4"/>
        <v>#N/A</v>
      </c>
      <c r="K29" s="101">
        <f t="shared" si="5"/>
        <v>56</v>
      </c>
      <c r="L29" s="100">
        <f t="shared" si="6"/>
        <v>60</v>
      </c>
      <c r="M29" s="67" t="e">
        <f t="shared" si="7"/>
        <v>#N/A</v>
      </c>
      <c r="N29" s="101">
        <f t="shared" si="8"/>
        <v>60</v>
      </c>
    </row>
    <row r="30" spans="1:14" ht="15.75">
      <c r="A30" s="112">
        <v>22</v>
      </c>
      <c r="B30" s="110" t="s">
        <v>176</v>
      </c>
      <c r="C30" s="110" t="s">
        <v>177</v>
      </c>
      <c r="D30" s="100" t="s">
        <v>249</v>
      </c>
      <c r="E30" s="101" t="s">
        <v>287</v>
      </c>
      <c r="F30" s="100">
        <f t="shared" si="0"/>
        <v>74</v>
      </c>
      <c r="G30" s="67">
        <f t="shared" si="1"/>
        <v>80</v>
      </c>
      <c r="H30" s="101">
        <f t="shared" si="2"/>
        <v>77</v>
      </c>
      <c r="I30" s="100">
        <f t="shared" si="3"/>
        <v>70</v>
      </c>
      <c r="J30" s="67">
        <f t="shared" si="4"/>
        <v>77</v>
      </c>
      <c r="K30" s="101">
        <f t="shared" si="5"/>
        <v>73.5</v>
      </c>
      <c r="L30" s="100">
        <f t="shared" si="6"/>
        <v>73</v>
      </c>
      <c r="M30" s="67">
        <f t="shared" si="7"/>
        <v>79</v>
      </c>
      <c r="N30" s="101">
        <f t="shared" si="8"/>
        <v>76</v>
      </c>
    </row>
    <row r="31" spans="1:14" ht="15.75">
      <c r="A31" s="112">
        <v>23</v>
      </c>
      <c r="B31" s="110" t="s">
        <v>178</v>
      </c>
      <c r="C31" s="110" t="s">
        <v>179</v>
      </c>
      <c r="D31" s="100" t="s">
        <v>248</v>
      </c>
      <c r="E31" s="101"/>
      <c r="F31" s="100">
        <f t="shared" si="0"/>
        <v>61</v>
      </c>
      <c r="G31" s="67" t="e">
        <f t="shared" si="1"/>
        <v>#N/A</v>
      </c>
      <c r="H31" s="101">
        <f t="shared" si="2"/>
        <v>61</v>
      </c>
      <c r="I31" s="100">
        <f t="shared" si="3"/>
        <v>56</v>
      </c>
      <c r="J31" s="67" t="e">
        <f t="shared" si="4"/>
        <v>#N/A</v>
      </c>
      <c r="K31" s="101">
        <f t="shared" si="5"/>
        <v>56</v>
      </c>
      <c r="L31" s="100">
        <f t="shared" si="6"/>
        <v>60</v>
      </c>
      <c r="M31" s="67" t="e">
        <f t="shared" si="7"/>
        <v>#N/A</v>
      </c>
      <c r="N31" s="101">
        <f t="shared" si="8"/>
        <v>60</v>
      </c>
    </row>
    <row r="32" spans="1:14" ht="15.75">
      <c r="A32" s="112">
        <v>24</v>
      </c>
      <c r="B32" s="110" t="s">
        <v>181</v>
      </c>
      <c r="C32" s="110" t="s">
        <v>180</v>
      </c>
      <c r="D32" s="100" t="s">
        <v>248</v>
      </c>
      <c r="E32" s="101"/>
      <c r="F32" s="100">
        <f t="shared" si="0"/>
        <v>61</v>
      </c>
      <c r="G32" s="67" t="e">
        <f t="shared" si="1"/>
        <v>#N/A</v>
      </c>
      <c r="H32" s="101">
        <f t="shared" si="2"/>
        <v>61</v>
      </c>
      <c r="I32" s="100">
        <f t="shared" si="3"/>
        <v>56</v>
      </c>
      <c r="J32" s="67" t="e">
        <f t="shared" si="4"/>
        <v>#N/A</v>
      </c>
      <c r="K32" s="101">
        <f t="shared" si="5"/>
        <v>56</v>
      </c>
      <c r="L32" s="100">
        <f t="shared" si="6"/>
        <v>60</v>
      </c>
      <c r="M32" s="67" t="e">
        <f t="shared" si="7"/>
        <v>#N/A</v>
      </c>
      <c r="N32" s="101">
        <f t="shared" si="8"/>
        <v>60</v>
      </c>
    </row>
    <row r="33" spans="1:14" ht="15.75">
      <c r="A33" s="112">
        <v>25</v>
      </c>
      <c r="B33" s="110" t="s">
        <v>183</v>
      </c>
      <c r="C33" s="110" t="s">
        <v>184</v>
      </c>
      <c r="D33" s="100" t="s">
        <v>248</v>
      </c>
      <c r="E33" s="101"/>
      <c r="F33" s="100">
        <f t="shared" si="0"/>
        <v>61</v>
      </c>
      <c r="G33" s="67" t="e">
        <f t="shared" si="1"/>
        <v>#N/A</v>
      </c>
      <c r="H33" s="101">
        <f t="shared" si="2"/>
        <v>61</v>
      </c>
      <c r="I33" s="100">
        <f t="shared" si="3"/>
        <v>56</v>
      </c>
      <c r="J33" s="67" t="e">
        <f t="shared" si="4"/>
        <v>#N/A</v>
      </c>
      <c r="K33" s="101">
        <f t="shared" si="5"/>
        <v>56</v>
      </c>
      <c r="L33" s="100">
        <f t="shared" si="6"/>
        <v>60</v>
      </c>
      <c r="M33" s="67" t="e">
        <f t="shared" si="7"/>
        <v>#N/A</v>
      </c>
      <c r="N33" s="101">
        <f t="shared" si="8"/>
        <v>60</v>
      </c>
    </row>
    <row r="34" spans="1:14" ht="15.75">
      <c r="A34" s="112">
        <v>26</v>
      </c>
      <c r="B34" s="110" t="s">
        <v>186</v>
      </c>
      <c r="C34" s="110" t="s">
        <v>187</v>
      </c>
      <c r="D34" s="100" t="s">
        <v>248</v>
      </c>
      <c r="E34" s="101"/>
      <c r="F34" s="100">
        <f t="shared" si="0"/>
        <v>61</v>
      </c>
      <c r="G34" s="67" t="e">
        <f t="shared" si="1"/>
        <v>#N/A</v>
      </c>
      <c r="H34" s="101">
        <f t="shared" si="2"/>
        <v>61</v>
      </c>
      <c r="I34" s="100">
        <f t="shared" si="3"/>
        <v>56</v>
      </c>
      <c r="J34" s="67" t="e">
        <f t="shared" si="4"/>
        <v>#N/A</v>
      </c>
      <c r="K34" s="101">
        <f t="shared" si="5"/>
        <v>56</v>
      </c>
      <c r="L34" s="100">
        <f t="shared" si="6"/>
        <v>60</v>
      </c>
      <c r="M34" s="67" t="e">
        <f t="shared" si="7"/>
        <v>#N/A</v>
      </c>
      <c r="N34" s="101">
        <f t="shared" si="8"/>
        <v>60</v>
      </c>
    </row>
    <row r="35" spans="1:14" ht="15.75">
      <c r="A35" s="112">
        <v>27</v>
      </c>
      <c r="B35" s="110" t="s">
        <v>188</v>
      </c>
      <c r="C35" s="110" t="s">
        <v>187</v>
      </c>
      <c r="D35" s="100" t="s">
        <v>248</v>
      </c>
      <c r="E35" s="101"/>
      <c r="F35" s="100">
        <f t="shared" si="0"/>
        <v>61</v>
      </c>
      <c r="G35" s="67" t="e">
        <f t="shared" si="1"/>
        <v>#N/A</v>
      </c>
      <c r="H35" s="101">
        <f t="shared" si="2"/>
        <v>61</v>
      </c>
      <c r="I35" s="100">
        <f t="shared" si="3"/>
        <v>56</v>
      </c>
      <c r="J35" s="67" t="e">
        <f t="shared" si="4"/>
        <v>#N/A</v>
      </c>
      <c r="K35" s="101">
        <f t="shared" si="5"/>
        <v>56</v>
      </c>
      <c r="L35" s="100">
        <f t="shared" si="6"/>
        <v>60</v>
      </c>
      <c r="M35" s="67" t="e">
        <f t="shared" si="7"/>
        <v>#N/A</v>
      </c>
      <c r="N35" s="101">
        <f t="shared" si="8"/>
        <v>60</v>
      </c>
    </row>
    <row r="36" spans="1:14" ht="15.75">
      <c r="A36" s="112">
        <v>28</v>
      </c>
      <c r="B36" s="110" t="s">
        <v>189</v>
      </c>
      <c r="C36" s="110" t="s">
        <v>190</v>
      </c>
      <c r="D36" s="100" t="s">
        <v>248</v>
      </c>
      <c r="E36" s="101"/>
      <c r="F36" s="100">
        <f t="shared" si="0"/>
        <v>61</v>
      </c>
      <c r="G36" s="67" t="e">
        <f t="shared" si="1"/>
        <v>#N/A</v>
      </c>
      <c r="H36" s="101">
        <f t="shared" si="2"/>
        <v>61</v>
      </c>
      <c r="I36" s="100">
        <f t="shared" si="3"/>
        <v>56</v>
      </c>
      <c r="J36" s="67" t="e">
        <f t="shared" si="4"/>
        <v>#N/A</v>
      </c>
      <c r="K36" s="101">
        <f t="shared" si="5"/>
        <v>56</v>
      </c>
      <c r="L36" s="100">
        <f t="shared" si="6"/>
        <v>60</v>
      </c>
      <c r="M36" s="67" t="e">
        <f t="shared" si="7"/>
        <v>#N/A</v>
      </c>
      <c r="N36" s="101">
        <f t="shared" si="8"/>
        <v>60</v>
      </c>
    </row>
    <row r="37" spans="1:14" ht="15.75">
      <c r="A37" s="112">
        <v>29</v>
      </c>
      <c r="B37" s="110" t="s">
        <v>191</v>
      </c>
      <c r="C37" s="110" t="s">
        <v>190</v>
      </c>
      <c r="D37" s="100" t="s">
        <v>248</v>
      </c>
      <c r="E37" s="101"/>
      <c r="F37" s="100">
        <f t="shared" si="0"/>
        <v>61</v>
      </c>
      <c r="G37" s="67" t="e">
        <f t="shared" si="1"/>
        <v>#N/A</v>
      </c>
      <c r="H37" s="101">
        <f t="shared" si="2"/>
        <v>61</v>
      </c>
      <c r="I37" s="100">
        <f t="shared" si="3"/>
        <v>56</v>
      </c>
      <c r="J37" s="67" t="e">
        <f t="shared" si="4"/>
        <v>#N/A</v>
      </c>
      <c r="K37" s="101">
        <f t="shared" si="5"/>
        <v>56</v>
      </c>
      <c r="L37" s="100">
        <f t="shared" si="6"/>
        <v>60</v>
      </c>
      <c r="M37" s="67" t="e">
        <f t="shared" si="7"/>
        <v>#N/A</v>
      </c>
      <c r="N37" s="101">
        <f t="shared" si="8"/>
        <v>60</v>
      </c>
    </row>
    <row r="38" spans="1:14" ht="15.75">
      <c r="A38" s="112">
        <v>30</v>
      </c>
      <c r="B38" s="110" t="s">
        <v>192</v>
      </c>
      <c r="C38" s="110" t="s">
        <v>193</v>
      </c>
      <c r="D38" s="100" t="s">
        <v>248</v>
      </c>
      <c r="E38" s="101"/>
      <c r="F38" s="100">
        <f t="shared" si="0"/>
        <v>61</v>
      </c>
      <c r="G38" s="67" t="e">
        <f t="shared" si="1"/>
        <v>#N/A</v>
      </c>
      <c r="H38" s="101">
        <f t="shared" si="2"/>
        <v>61</v>
      </c>
      <c r="I38" s="100">
        <f t="shared" si="3"/>
        <v>56</v>
      </c>
      <c r="J38" s="67" t="e">
        <f t="shared" si="4"/>
        <v>#N/A</v>
      </c>
      <c r="K38" s="101">
        <f t="shared" si="5"/>
        <v>56</v>
      </c>
      <c r="L38" s="100">
        <f t="shared" si="6"/>
        <v>60</v>
      </c>
      <c r="M38" s="67" t="e">
        <f t="shared" si="7"/>
        <v>#N/A</v>
      </c>
      <c r="N38" s="101">
        <f t="shared" si="8"/>
        <v>60</v>
      </c>
    </row>
    <row r="39" spans="1:14" ht="15.75">
      <c r="A39" s="112">
        <v>31</v>
      </c>
      <c r="B39" s="110" t="s">
        <v>197</v>
      </c>
      <c r="C39" s="110" t="s">
        <v>193</v>
      </c>
      <c r="D39" s="100" t="s">
        <v>248</v>
      </c>
      <c r="E39" s="101"/>
      <c r="F39" s="100">
        <f t="shared" si="0"/>
        <v>61</v>
      </c>
      <c r="G39" s="67" t="e">
        <f t="shared" si="1"/>
        <v>#N/A</v>
      </c>
      <c r="H39" s="101">
        <f t="shared" si="2"/>
        <v>61</v>
      </c>
      <c r="I39" s="100">
        <f t="shared" si="3"/>
        <v>56</v>
      </c>
      <c r="J39" s="67" t="e">
        <f t="shared" si="4"/>
        <v>#N/A</v>
      </c>
      <c r="K39" s="101">
        <f t="shared" si="5"/>
        <v>56</v>
      </c>
      <c r="L39" s="100">
        <f t="shared" si="6"/>
        <v>60</v>
      </c>
      <c r="M39" s="67" t="e">
        <f t="shared" si="7"/>
        <v>#N/A</v>
      </c>
      <c r="N39" s="101">
        <f t="shared" si="8"/>
        <v>60</v>
      </c>
    </row>
    <row r="40" spans="1:14" ht="15.75">
      <c r="A40" s="112">
        <v>32</v>
      </c>
      <c r="B40" s="110" t="s">
        <v>196</v>
      </c>
      <c r="C40" s="110" t="s">
        <v>193</v>
      </c>
      <c r="D40" s="100" t="s">
        <v>248</v>
      </c>
      <c r="E40" s="101"/>
      <c r="F40" s="100">
        <f t="shared" si="0"/>
        <v>61</v>
      </c>
      <c r="G40" s="67" t="e">
        <f t="shared" si="1"/>
        <v>#N/A</v>
      </c>
      <c r="H40" s="101">
        <f t="shared" si="2"/>
        <v>61</v>
      </c>
      <c r="I40" s="100">
        <f t="shared" si="3"/>
        <v>56</v>
      </c>
      <c r="J40" s="67" t="e">
        <f t="shared" si="4"/>
        <v>#N/A</v>
      </c>
      <c r="K40" s="101">
        <f t="shared" si="5"/>
        <v>56</v>
      </c>
      <c r="L40" s="100">
        <f t="shared" si="6"/>
        <v>60</v>
      </c>
      <c r="M40" s="67" t="e">
        <f t="shared" si="7"/>
        <v>#N/A</v>
      </c>
      <c r="N40" s="101">
        <f t="shared" si="8"/>
        <v>60</v>
      </c>
    </row>
    <row r="41" spans="1:14" ht="15.75">
      <c r="A41" s="112">
        <v>33</v>
      </c>
      <c r="B41" s="110" t="s">
        <v>195</v>
      </c>
      <c r="C41" s="110" t="s">
        <v>194</v>
      </c>
      <c r="D41" s="100" t="s">
        <v>248</v>
      </c>
      <c r="E41" s="101"/>
      <c r="F41" s="100">
        <f t="shared" si="0"/>
        <v>61</v>
      </c>
      <c r="G41" s="67" t="e">
        <f t="shared" si="1"/>
        <v>#N/A</v>
      </c>
      <c r="H41" s="101">
        <f t="shared" si="2"/>
        <v>61</v>
      </c>
      <c r="I41" s="100">
        <f t="shared" si="3"/>
        <v>56</v>
      </c>
      <c r="J41" s="67" t="e">
        <f t="shared" si="4"/>
        <v>#N/A</v>
      </c>
      <c r="K41" s="101">
        <f t="shared" si="5"/>
        <v>56</v>
      </c>
      <c r="L41" s="100">
        <f t="shared" si="6"/>
        <v>60</v>
      </c>
      <c r="M41" s="67" t="e">
        <f t="shared" si="7"/>
        <v>#N/A</v>
      </c>
      <c r="N41" s="101">
        <f t="shared" si="8"/>
        <v>60</v>
      </c>
    </row>
    <row r="42" spans="1:14" ht="15.75">
      <c r="A42" s="112">
        <v>34</v>
      </c>
      <c r="B42" s="110" t="s">
        <v>198</v>
      </c>
      <c r="C42" s="110" t="s">
        <v>199</v>
      </c>
      <c r="D42" s="100" t="s">
        <v>248</v>
      </c>
      <c r="E42" s="101" t="s">
        <v>287</v>
      </c>
      <c r="F42" s="100">
        <f t="shared" si="0"/>
        <v>61</v>
      </c>
      <c r="G42" s="67">
        <f t="shared" si="1"/>
        <v>80</v>
      </c>
      <c r="H42" s="101">
        <f t="shared" si="2"/>
        <v>70.5</v>
      </c>
      <c r="I42" s="100">
        <f t="shared" si="3"/>
        <v>56</v>
      </c>
      <c r="J42" s="67">
        <f t="shared" si="4"/>
        <v>77</v>
      </c>
      <c r="K42" s="101">
        <f t="shared" si="5"/>
        <v>66.5</v>
      </c>
      <c r="L42" s="100">
        <f t="shared" si="6"/>
        <v>60</v>
      </c>
      <c r="M42" s="67">
        <f t="shared" si="7"/>
        <v>79</v>
      </c>
      <c r="N42" s="101">
        <f t="shared" si="8"/>
        <v>69.5</v>
      </c>
    </row>
    <row r="43" spans="1:14" ht="15.75">
      <c r="A43" s="112">
        <v>35</v>
      </c>
      <c r="B43" s="110" t="s">
        <v>200</v>
      </c>
      <c r="C43" s="110" t="s">
        <v>201</v>
      </c>
      <c r="D43" s="100" t="s">
        <v>249</v>
      </c>
      <c r="E43" s="101" t="s">
        <v>287</v>
      </c>
      <c r="F43" s="100">
        <f t="shared" si="0"/>
        <v>74</v>
      </c>
      <c r="G43" s="67">
        <f t="shared" si="1"/>
        <v>80</v>
      </c>
      <c r="H43" s="101">
        <f t="shared" si="2"/>
        <v>77</v>
      </c>
      <c r="I43" s="100">
        <f t="shared" si="3"/>
        <v>70</v>
      </c>
      <c r="J43" s="67">
        <f t="shared" si="4"/>
        <v>77</v>
      </c>
      <c r="K43" s="101">
        <f t="shared" si="5"/>
        <v>73.5</v>
      </c>
      <c r="L43" s="100">
        <f t="shared" si="6"/>
        <v>73</v>
      </c>
      <c r="M43" s="67">
        <f t="shared" si="7"/>
        <v>79</v>
      </c>
      <c r="N43" s="101">
        <f t="shared" si="8"/>
        <v>76</v>
      </c>
    </row>
    <row r="44" spans="1:14" ht="15.75">
      <c r="A44" s="112">
        <v>36</v>
      </c>
      <c r="B44" s="110" t="s">
        <v>202</v>
      </c>
      <c r="C44" s="110" t="s">
        <v>203</v>
      </c>
      <c r="D44" s="100" t="s">
        <v>248</v>
      </c>
      <c r="E44" s="101" t="s">
        <v>287</v>
      </c>
      <c r="F44" s="100">
        <f t="shared" si="0"/>
        <v>61</v>
      </c>
      <c r="G44" s="67">
        <f t="shared" si="1"/>
        <v>80</v>
      </c>
      <c r="H44" s="101">
        <f t="shared" si="2"/>
        <v>70.5</v>
      </c>
      <c r="I44" s="100">
        <f t="shared" si="3"/>
        <v>56</v>
      </c>
      <c r="J44" s="67">
        <f t="shared" si="4"/>
        <v>77</v>
      </c>
      <c r="K44" s="101">
        <f t="shared" si="5"/>
        <v>66.5</v>
      </c>
      <c r="L44" s="100">
        <f t="shared" si="6"/>
        <v>60</v>
      </c>
      <c r="M44" s="67">
        <f t="shared" si="7"/>
        <v>79</v>
      </c>
      <c r="N44" s="101">
        <f t="shared" si="8"/>
        <v>69.5</v>
      </c>
    </row>
    <row r="45" spans="1:14" ht="15.75">
      <c r="A45" s="112">
        <v>37</v>
      </c>
      <c r="B45" s="110" t="s">
        <v>204</v>
      </c>
      <c r="C45" s="110" t="s">
        <v>205</v>
      </c>
      <c r="D45" s="100" t="s">
        <v>248</v>
      </c>
      <c r="E45" s="101"/>
      <c r="F45" s="100">
        <f t="shared" si="0"/>
        <v>61</v>
      </c>
      <c r="G45" s="67" t="e">
        <f t="shared" si="1"/>
        <v>#N/A</v>
      </c>
      <c r="H45" s="101">
        <f t="shared" si="2"/>
        <v>61</v>
      </c>
      <c r="I45" s="100">
        <f t="shared" si="3"/>
        <v>56</v>
      </c>
      <c r="J45" s="67" t="e">
        <f t="shared" si="4"/>
        <v>#N/A</v>
      </c>
      <c r="K45" s="101">
        <f t="shared" si="5"/>
        <v>56</v>
      </c>
      <c r="L45" s="100">
        <f t="shared" si="6"/>
        <v>60</v>
      </c>
      <c r="M45" s="67" t="e">
        <f t="shared" si="7"/>
        <v>#N/A</v>
      </c>
      <c r="N45" s="101">
        <f t="shared" si="8"/>
        <v>60</v>
      </c>
    </row>
    <row r="46" spans="1:14" ht="15.75">
      <c r="A46" s="112">
        <v>38</v>
      </c>
      <c r="B46" s="110" t="s">
        <v>206</v>
      </c>
      <c r="C46" s="110" t="s">
        <v>207</v>
      </c>
      <c r="D46" s="100" t="s">
        <v>248</v>
      </c>
      <c r="E46" s="101"/>
      <c r="F46" s="100">
        <f t="shared" si="0"/>
        <v>61</v>
      </c>
      <c r="G46" s="67" t="e">
        <f t="shared" si="1"/>
        <v>#N/A</v>
      </c>
      <c r="H46" s="101">
        <f t="shared" si="2"/>
        <v>61</v>
      </c>
      <c r="I46" s="100">
        <f t="shared" si="3"/>
        <v>56</v>
      </c>
      <c r="J46" s="67" t="e">
        <f t="shared" si="4"/>
        <v>#N/A</v>
      </c>
      <c r="K46" s="101">
        <f t="shared" si="5"/>
        <v>56</v>
      </c>
      <c r="L46" s="100">
        <f t="shared" si="6"/>
        <v>60</v>
      </c>
      <c r="M46" s="67" t="e">
        <f t="shared" si="7"/>
        <v>#N/A</v>
      </c>
      <c r="N46" s="101">
        <f t="shared" si="8"/>
        <v>60</v>
      </c>
    </row>
    <row r="47" spans="1:14" ht="15.75">
      <c r="A47" s="112">
        <v>39</v>
      </c>
      <c r="B47" s="110" t="s">
        <v>213</v>
      </c>
      <c r="C47" s="110" t="s">
        <v>207</v>
      </c>
      <c r="D47" s="100" t="s">
        <v>248</v>
      </c>
      <c r="E47" s="101"/>
      <c r="F47" s="100">
        <f t="shared" si="0"/>
        <v>61</v>
      </c>
      <c r="G47" s="67" t="e">
        <f t="shared" si="1"/>
        <v>#N/A</v>
      </c>
      <c r="H47" s="101">
        <f t="shared" si="2"/>
        <v>61</v>
      </c>
      <c r="I47" s="100">
        <f t="shared" si="3"/>
        <v>56</v>
      </c>
      <c r="J47" s="67" t="e">
        <f t="shared" si="4"/>
        <v>#N/A</v>
      </c>
      <c r="K47" s="101">
        <f t="shared" si="5"/>
        <v>56</v>
      </c>
      <c r="L47" s="100">
        <f t="shared" si="6"/>
        <v>60</v>
      </c>
      <c r="M47" s="67" t="e">
        <f t="shared" si="7"/>
        <v>#N/A</v>
      </c>
      <c r="N47" s="101">
        <f t="shared" si="8"/>
        <v>60</v>
      </c>
    </row>
    <row r="48" spans="1:14" ht="15.75">
      <c r="A48" s="112">
        <v>40</v>
      </c>
      <c r="B48" s="110" t="s">
        <v>212</v>
      </c>
      <c r="C48" s="110" t="s">
        <v>207</v>
      </c>
      <c r="D48" s="100" t="s">
        <v>248</v>
      </c>
      <c r="E48" s="101"/>
      <c r="F48" s="100">
        <f t="shared" si="0"/>
        <v>61</v>
      </c>
      <c r="G48" s="67" t="e">
        <f t="shared" si="1"/>
        <v>#N/A</v>
      </c>
      <c r="H48" s="101">
        <f t="shared" si="2"/>
        <v>61</v>
      </c>
      <c r="I48" s="100">
        <f t="shared" si="3"/>
        <v>56</v>
      </c>
      <c r="J48" s="67" t="e">
        <f t="shared" si="4"/>
        <v>#N/A</v>
      </c>
      <c r="K48" s="101">
        <f t="shared" si="5"/>
        <v>56</v>
      </c>
      <c r="L48" s="100">
        <f t="shared" si="6"/>
        <v>60</v>
      </c>
      <c r="M48" s="67" t="e">
        <f t="shared" si="7"/>
        <v>#N/A</v>
      </c>
      <c r="N48" s="101">
        <f t="shared" si="8"/>
        <v>60</v>
      </c>
    </row>
    <row r="49" spans="1:14" ht="15.75">
      <c r="A49" s="112">
        <v>41</v>
      </c>
      <c r="B49" s="110" t="s">
        <v>211</v>
      </c>
      <c r="C49" s="110" t="s">
        <v>208</v>
      </c>
      <c r="D49" s="100" t="s">
        <v>248</v>
      </c>
      <c r="E49" s="101"/>
      <c r="F49" s="100">
        <f t="shared" si="0"/>
        <v>61</v>
      </c>
      <c r="G49" s="67" t="e">
        <f t="shared" si="1"/>
        <v>#N/A</v>
      </c>
      <c r="H49" s="101">
        <f t="shared" si="2"/>
        <v>61</v>
      </c>
      <c r="I49" s="100">
        <f t="shared" si="3"/>
        <v>56</v>
      </c>
      <c r="J49" s="67" t="e">
        <f t="shared" si="4"/>
        <v>#N/A</v>
      </c>
      <c r="K49" s="101">
        <f t="shared" si="5"/>
        <v>56</v>
      </c>
      <c r="L49" s="100">
        <f t="shared" si="6"/>
        <v>60</v>
      </c>
      <c r="M49" s="67" t="e">
        <f t="shared" si="7"/>
        <v>#N/A</v>
      </c>
      <c r="N49" s="101">
        <f t="shared" si="8"/>
        <v>60</v>
      </c>
    </row>
    <row r="50" spans="1:14" ht="15.75">
      <c r="A50" s="112">
        <v>42</v>
      </c>
      <c r="B50" s="110" t="s">
        <v>210</v>
      </c>
      <c r="C50" s="110" t="s">
        <v>207</v>
      </c>
      <c r="D50" s="100" t="s">
        <v>248</v>
      </c>
      <c r="E50" s="101"/>
      <c r="F50" s="100">
        <f t="shared" si="0"/>
        <v>61</v>
      </c>
      <c r="G50" s="67" t="e">
        <f t="shared" si="1"/>
        <v>#N/A</v>
      </c>
      <c r="H50" s="101">
        <f t="shared" si="2"/>
        <v>61</v>
      </c>
      <c r="I50" s="100">
        <f t="shared" si="3"/>
        <v>56</v>
      </c>
      <c r="J50" s="67" t="e">
        <f t="shared" si="4"/>
        <v>#N/A</v>
      </c>
      <c r="K50" s="101">
        <f t="shared" si="5"/>
        <v>56</v>
      </c>
      <c r="L50" s="100">
        <f t="shared" si="6"/>
        <v>60</v>
      </c>
      <c r="M50" s="67" t="e">
        <f t="shared" si="7"/>
        <v>#N/A</v>
      </c>
      <c r="N50" s="101">
        <f t="shared" si="8"/>
        <v>60</v>
      </c>
    </row>
    <row r="51" spans="1:14" ht="15.75">
      <c r="A51" s="112">
        <v>43</v>
      </c>
      <c r="B51" s="110" t="s">
        <v>209</v>
      </c>
      <c r="C51" s="110" t="s">
        <v>208</v>
      </c>
      <c r="D51" s="100" t="s">
        <v>248</v>
      </c>
      <c r="E51" s="101"/>
      <c r="F51" s="100">
        <f t="shared" si="0"/>
        <v>61</v>
      </c>
      <c r="G51" s="67" t="e">
        <f t="shared" si="1"/>
        <v>#N/A</v>
      </c>
      <c r="H51" s="101">
        <f t="shared" si="2"/>
        <v>61</v>
      </c>
      <c r="I51" s="100">
        <f t="shared" si="3"/>
        <v>56</v>
      </c>
      <c r="J51" s="67" t="e">
        <f t="shared" si="4"/>
        <v>#N/A</v>
      </c>
      <c r="K51" s="101">
        <f t="shared" si="5"/>
        <v>56</v>
      </c>
      <c r="L51" s="100">
        <f t="shared" si="6"/>
        <v>60</v>
      </c>
      <c r="M51" s="67" t="e">
        <f t="shared" si="7"/>
        <v>#N/A</v>
      </c>
      <c r="N51" s="101">
        <f t="shared" si="8"/>
        <v>60</v>
      </c>
    </row>
    <row r="52" spans="1:14" ht="15.75">
      <c r="A52" s="112">
        <v>44</v>
      </c>
      <c r="B52" s="110" t="s">
        <v>214</v>
      </c>
      <c r="C52" s="110" t="s">
        <v>215</v>
      </c>
      <c r="D52" s="100" t="s">
        <v>248</v>
      </c>
      <c r="E52" s="101"/>
      <c r="F52" s="100">
        <f t="shared" si="0"/>
        <v>61</v>
      </c>
      <c r="G52" s="67" t="e">
        <f t="shared" si="1"/>
        <v>#N/A</v>
      </c>
      <c r="H52" s="101">
        <f t="shared" si="2"/>
        <v>61</v>
      </c>
      <c r="I52" s="100">
        <f t="shared" si="3"/>
        <v>56</v>
      </c>
      <c r="J52" s="67" t="e">
        <f t="shared" si="4"/>
        <v>#N/A</v>
      </c>
      <c r="K52" s="101">
        <f t="shared" si="5"/>
        <v>56</v>
      </c>
      <c r="L52" s="100">
        <f t="shared" si="6"/>
        <v>60</v>
      </c>
      <c r="M52" s="67" t="e">
        <f t="shared" si="7"/>
        <v>#N/A</v>
      </c>
      <c r="N52" s="101">
        <f t="shared" si="8"/>
        <v>60</v>
      </c>
    </row>
    <row r="53" spans="1:14" ht="15.75">
      <c r="A53" s="112">
        <v>45</v>
      </c>
      <c r="B53" s="110" t="s">
        <v>216</v>
      </c>
      <c r="C53" s="110" t="s">
        <v>217</v>
      </c>
      <c r="D53" s="100" t="s">
        <v>248</v>
      </c>
      <c r="E53" s="101"/>
      <c r="F53" s="100">
        <f t="shared" si="0"/>
        <v>61</v>
      </c>
      <c r="G53" s="67" t="e">
        <f t="shared" si="1"/>
        <v>#N/A</v>
      </c>
      <c r="H53" s="101">
        <f t="shared" si="2"/>
        <v>61</v>
      </c>
      <c r="I53" s="100">
        <f t="shared" si="3"/>
        <v>56</v>
      </c>
      <c r="J53" s="67" t="e">
        <f t="shared" si="4"/>
        <v>#N/A</v>
      </c>
      <c r="K53" s="101">
        <f t="shared" si="5"/>
        <v>56</v>
      </c>
      <c r="L53" s="100">
        <f t="shared" si="6"/>
        <v>60</v>
      </c>
      <c r="M53" s="67" t="e">
        <f t="shared" si="7"/>
        <v>#N/A</v>
      </c>
      <c r="N53" s="101">
        <f t="shared" si="8"/>
        <v>60</v>
      </c>
    </row>
    <row r="54" spans="1:14" ht="15.75">
      <c r="A54" s="112">
        <v>46</v>
      </c>
      <c r="B54" s="110" t="s">
        <v>218</v>
      </c>
      <c r="C54" s="110" t="s">
        <v>219</v>
      </c>
      <c r="D54" s="100" t="s">
        <v>248</v>
      </c>
      <c r="E54" s="101" t="s">
        <v>287</v>
      </c>
      <c r="F54" s="100">
        <f t="shared" si="0"/>
        <v>61</v>
      </c>
      <c r="G54" s="67">
        <f t="shared" si="1"/>
        <v>80</v>
      </c>
      <c r="H54" s="101">
        <f t="shared" si="2"/>
        <v>70.5</v>
      </c>
      <c r="I54" s="100">
        <f t="shared" si="3"/>
        <v>56</v>
      </c>
      <c r="J54" s="67">
        <f t="shared" si="4"/>
        <v>77</v>
      </c>
      <c r="K54" s="101">
        <f t="shared" si="5"/>
        <v>66.5</v>
      </c>
      <c r="L54" s="100">
        <f t="shared" si="6"/>
        <v>60</v>
      </c>
      <c r="M54" s="67">
        <f t="shared" si="7"/>
        <v>79</v>
      </c>
      <c r="N54" s="101">
        <f t="shared" si="8"/>
        <v>69.5</v>
      </c>
    </row>
    <row r="55" spans="1:14" ht="15.75">
      <c r="A55" s="112">
        <v>47</v>
      </c>
      <c r="B55" s="110" t="s">
        <v>220</v>
      </c>
      <c r="C55" s="110" t="s">
        <v>221</v>
      </c>
      <c r="D55" s="100" t="s">
        <v>248</v>
      </c>
      <c r="E55" s="101" t="s">
        <v>287</v>
      </c>
      <c r="F55" s="100">
        <f t="shared" si="0"/>
        <v>61</v>
      </c>
      <c r="G55" s="67">
        <f t="shared" si="1"/>
        <v>80</v>
      </c>
      <c r="H55" s="101">
        <f t="shared" si="2"/>
        <v>70.5</v>
      </c>
      <c r="I55" s="100">
        <f t="shared" si="3"/>
        <v>56</v>
      </c>
      <c r="J55" s="67">
        <f t="shared" si="4"/>
        <v>77</v>
      </c>
      <c r="K55" s="101">
        <f t="shared" si="5"/>
        <v>66.5</v>
      </c>
      <c r="L55" s="100">
        <f t="shared" si="6"/>
        <v>60</v>
      </c>
      <c r="M55" s="67">
        <f t="shared" si="7"/>
        <v>79</v>
      </c>
      <c r="N55" s="101">
        <f t="shared" si="8"/>
        <v>69.5</v>
      </c>
    </row>
    <row r="56" spans="1:14" ht="15.75">
      <c r="A56" s="112">
        <v>48</v>
      </c>
      <c r="B56" s="110" t="s">
        <v>222</v>
      </c>
      <c r="C56" s="110" t="s">
        <v>223</v>
      </c>
      <c r="D56" s="100" t="s">
        <v>248</v>
      </c>
      <c r="E56" s="101" t="s">
        <v>287</v>
      </c>
      <c r="F56" s="100">
        <f t="shared" si="0"/>
        <v>61</v>
      </c>
      <c r="G56" s="67">
        <f t="shared" si="1"/>
        <v>80</v>
      </c>
      <c r="H56" s="101">
        <f t="shared" si="2"/>
        <v>70.5</v>
      </c>
      <c r="I56" s="100">
        <f t="shared" si="3"/>
        <v>56</v>
      </c>
      <c r="J56" s="67">
        <f t="shared" si="4"/>
        <v>77</v>
      </c>
      <c r="K56" s="101">
        <f t="shared" si="5"/>
        <v>66.5</v>
      </c>
      <c r="L56" s="100">
        <f t="shared" si="6"/>
        <v>60</v>
      </c>
      <c r="M56" s="67">
        <f t="shared" si="7"/>
        <v>79</v>
      </c>
      <c r="N56" s="101">
        <f t="shared" si="8"/>
        <v>69.5</v>
      </c>
    </row>
    <row r="57" spans="1:14" ht="15.75">
      <c r="A57" s="112">
        <v>49</v>
      </c>
      <c r="B57" s="110" t="s">
        <v>224</v>
      </c>
      <c r="C57" s="110" t="s">
        <v>225</v>
      </c>
      <c r="D57" s="100" t="s">
        <v>248</v>
      </c>
      <c r="E57" s="101" t="s">
        <v>287</v>
      </c>
      <c r="F57" s="100">
        <f t="shared" si="0"/>
        <v>61</v>
      </c>
      <c r="G57" s="67">
        <f t="shared" si="1"/>
        <v>80</v>
      </c>
      <c r="H57" s="101">
        <f t="shared" si="2"/>
        <v>70.5</v>
      </c>
      <c r="I57" s="100">
        <f t="shared" si="3"/>
        <v>56</v>
      </c>
      <c r="J57" s="67">
        <f t="shared" si="4"/>
        <v>77</v>
      </c>
      <c r="K57" s="101">
        <f t="shared" si="5"/>
        <v>66.5</v>
      </c>
      <c r="L57" s="100">
        <f t="shared" si="6"/>
        <v>60</v>
      </c>
      <c r="M57" s="67">
        <f t="shared" si="7"/>
        <v>79</v>
      </c>
      <c r="N57" s="101">
        <f t="shared" si="8"/>
        <v>69.5</v>
      </c>
    </row>
    <row r="58" spans="1:14" ht="15.75">
      <c r="A58" s="112">
        <v>50</v>
      </c>
      <c r="B58" s="110" t="s">
        <v>226</v>
      </c>
      <c r="C58" s="110" t="s">
        <v>227</v>
      </c>
      <c r="D58" s="100" t="s">
        <v>249</v>
      </c>
      <c r="E58" s="101"/>
      <c r="F58" s="100">
        <f t="shared" si="0"/>
        <v>74</v>
      </c>
      <c r="G58" s="67" t="e">
        <f t="shared" si="1"/>
        <v>#N/A</v>
      </c>
      <c r="H58" s="101">
        <f t="shared" si="2"/>
        <v>74</v>
      </c>
      <c r="I58" s="100">
        <f t="shared" si="3"/>
        <v>70</v>
      </c>
      <c r="J58" s="67" t="e">
        <f t="shared" si="4"/>
        <v>#N/A</v>
      </c>
      <c r="K58" s="101">
        <f t="shared" si="5"/>
        <v>70</v>
      </c>
      <c r="L58" s="100">
        <f t="shared" si="6"/>
        <v>73</v>
      </c>
      <c r="M58" s="67" t="e">
        <f t="shared" si="7"/>
        <v>#N/A</v>
      </c>
      <c r="N58" s="101">
        <f t="shared" si="8"/>
        <v>73</v>
      </c>
    </row>
    <row r="59" spans="1:14" ht="15.75">
      <c r="A59" s="112">
        <v>51</v>
      </c>
      <c r="B59" s="110" t="s">
        <v>229</v>
      </c>
      <c r="C59" s="110" t="s">
        <v>227</v>
      </c>
      <c r="D59" s="100" t="s">
        <v>249</v>
      </c>
      <c r="E59" s="101"/>
      <c r="F59" s="100">
        <f t="shared" si="0"/>
        <v>74</v>
      </c>
      <c r="G59" s="67" t="e">
        <f t="shared" si="1"/>
        <v>#N/A</v>
      </c>
      <c r="H59" s="101">
        <f t="shared" si="2"/>
        <v>74</v>
      </c>
      <c r="I59" s="100">
        <f t="shared" si="3"/>
        <v>70</v>
      </c>
      <c r="J59" s="67" t="e">
        <f t="shared" si="4"/>
        <v>#N/A</v>
      </c>
      <c r="K59" s="101">
        <f t="shared" si="5"/>
        <v>70</v>
      </c>
      <c r="L59" s="100">
        <f t="shared" si="6"/>
        <v>73</v>
      </c>
      <c r="M59" s="67" t="e">
        <f t="shared" si="7"/>
        <v>#N/A</v>
      </c>
      <c r="N59" s="101">
        <f t="shared" si="8"/>
        <v>73</v>
      </c>
    </row>
    <row r="60" spans="1:14" ht="15.75">
      <c r="A60" s="112">
        <v>52</v>
      </c>
      <c r="B60" s="110" t="s">
        <v>228</v>
      </c>
      <c r="C60" s="110" t="s">
        <v>227</v>
      </c>
      <c r="D60" s="100" t="s">
        <v>249</v>
      </c>
      <c r="E60" s="101"/>
      <c r="F60" s="100">
        <f t="shared" si="0"/>
        <v>74</v>
      </c>
      <c r="G60" s="67" t="e">
        <f t="shared" si="1"/>
        <v>#N/A</v>
      </c>
      <c r="H60" s="101">
        <f t="shared" si="2"/>
        <v>74</v>
      </c>
      <c r="I60" s="100">
        <f t="shared" si="3"/>
        <v>70</v>
      </c>
      <c r="J60" s="67" t="e">
        <f t="shared" si="4"/>
        <v>#N/A</v>
      </c>
      <c r="K60" s="101">
        <f t="shared" si="5"/>
        <v>70</v>
      </c>
      <c r="L60" s="100">
        <f t="shared" si="6"/>
        <v>73</v>
      </c>
      <c r="M60" s="67" t="e">
        <f t="shared" si="7"/>
        <v>#N/A</v>
      </c>
      <c r="N60" s="101">
        <f t="shared" si="8"/>
        <v>73</v>
      </c>
    </row>
    <row r="61" spans="1:14" ht="15.75">
      <c r="A61" s="112">
        <v>53</v>
      </c>
      <c r="B61" s="110" t="s">
        <v>230</v>
      </c>
      <c r="C61" s="110" t="s">
        <v>231</v>
      </c>
      <c r="D61" s="100" t="s">
        <v>248</v>
      </c>
      <c r="E61" s="101" t="s">
        <v>287</v>
      </c>
      <c r="F61" s="100">
        <f t="shared" si="0"/>
        <v>61</v>
      </c>
      <c r="G61" s="67">
        <f t="shared" si="1"/>
        <v>80</v>
      </c>
      <c r="H61" s="101">
        <f t="shared" si="2"/>
        <v>70.5</v>
      </c>
      <c r="I61" s="100">
        <f t="shared" si="3"/>
        <v>56</v>
      </c>
      <c r="J61" s="67">
        <f t="shared" si="4"/>
        <v>77</v>
      </c>
      <c r="K61" s="101">
        <f t="shared" si="5"/>
        <v>66.5</v>
      </c>
      <c r="L61" s="100">
        <f t="shared" si="6"/>
        <v>60</v>
      </c>
      <c r="M61" s="67">
        <f t="shared" si="7"/>
        <v>79</v>
      </c>
      <c r="N61" s="101">
        <f t="shared" si="8"/>
        <v>69.5</v>
      </c>
    </row>
    <row r="62" spans="1:14" ht="15.75">
      <c r="A62" s="112">
        <v>54</v>
      </c>
      <c r="B62" s="110" t="s">
        <v>232</v>
      </c>
      <c r="C62" s="110" t="s">
        <v>233</v>
      </c>
      <c r="D62" s="100" t="s">
        <v>248</v>
      </c>
      <c r="E62" s="101"/>
      <c r="F62" s="100">
        <f t="shared" si="0"/>
        <v>61</v>
      </c>
      <c r="G62" s="67" t="e">
        <f t="shared" si="1"/>
        <v>#N/A</v>
      </c>
      <c r="H62" s="101">
        <f t="shared" si="2"/>
        <v>61</v>
      </c>
      <c r="I62" s="100">
        <f t="shared" si="3"/>
        <v>56</v>
      </c>
      <c r="J62" s="67" t="e">
        <f t="shared" si="4"/>
        <v>#N/A</v>
      </c>
      <c r="K62" s="101">
        <f t="shared" si="5"/>
        <v>56</v>
      </c>
      <c r="L62" s="100">
        <f t="shared" si="6"/>
        <v>60</v>
      </c>
      <c r="M62" s="67" t="e">
        <f t="shared" si="7"/>
        <v>#N/A</v>
      </c>
      <c r="N62" s="101">
        <f t="shared" si="8"/>
        <v>60</v>
      </c>
    </row>
    <row r="63" spans="1:14" ht="15.75">
      <c r="A63" s="112">
        <v>55</v>
      </c>
      <c r="B63" s="110" t="s">
        <v>235</v>
      </c>
      <c r="C63" s="110" t="s">
        <v>233</v>
      </c>
      <c r="D63" s="100" t="s">
        <v>248</v>
      </c>
      <c r="E63" s="101"/>
      <c r="F63" s="100">
        <f t="shared" si="0"/>
        <v>61</v>
      </c>
      <c r="G63" s="67" t="e">
        <f t="shared" si="1"/>
        <v>#N/A</v>
      </c>
      <c r="H63" s="101">
        <f t="shared" si="2"/>
        <v>61</v>
      </c>
      <c r="I63" s="100">
        <f t="shared" si="3"/>
        <v>56</v>
      </c>
      <c r="J63" s="67" t="e">
        <f t="shared" si="4"/>
        <v>#N/A</v>
      </c>
      <c r="K63" s="101">
        <f t="shared" si="5"/>
        <v>56</v>
      </c>
      <c r="L63" s="100">
        <f t="shared" si="6"/>
        <v>60</v>
      </c>
      <c r="M63" s="67" t="e">
        <f t="shared" si="7"/>
        <v>#N/A</v>
      </c>
      <c r="N63" s="101">
        <f t="shared" si="8"/>
        <v>60</v>
      </c>
    </row>
    <row r="64" spans="1:14" ht="15.75">
      <c r="A64" s="112">
        <v>56</v>
      </c>
      <c r="B64" s="110" t="s">
        <v>234</v>
      </c>
      <c r="C64" s="110" t="s">
        <v>233</v>
      </c>
      <c r="D64" s="100" t="s">
        <v>248</v>
      </c>
      <c r="E64" s="101"/>
      <c r="F64" s="100">
        <f t="shared" si="0"/>
        <v>61</v>
      </c>
      <c r="G64" s="67" t="e">
        <f t="shared" si="1"/>
        <v>#N/A</v>
      </c>
      <c r="H64" s="101">
        <f t="shared" si="2"/>
        <v>61</v>
      </c>
      <c r="I64" s="100">
        <f t="shared" si="3"/>
        <v>56</v>
      </c>
      <c r="J64" s="67" t="e">
        <f t="shared" si="4"/>
        <v>#N/A</v>
      </c>
      <c r="K64" s="101">
        <f t="shared" si="5"/>
        <v>56</v>
      </c>
      <c r="L64" s="100">
        <f t="shared" si="6"/>
        <v>60</v>
      </c>
      <c r="M64" s="67" t="e">
        <f t="shared" si="7"/>
        <v>#N/A</v>
      </c>
      <c r="N64" s="101">
        <f t="shared" si="8"/>
        <v>60</v>
      </c>
    </row>
    <row r="65" spans="1:14" ht="15.75">
      <c r="A65" s="112">
        <v>57</v>
      </c>
      <c r="B65" s="110" t="s">
        <v>236</v>
      </c>
      <c r="C65" s="110" t="s">
        <v>237</v>
      </c>
      <c r="D65" s="100" t="s">
        <v>248</v>
      </c>
      <c r="E65" s="101"/>
      <c r="F65" s="100">
        <f t="shared" si="0"/>
        <v>61</v>
      </c>
      <c r="G65" s="67" t="e">
        <f t="shared" si="1"/>
        <v>#N/A</v>
      </c>
      <c r="H65" s="101">
        <f t="shared" si="2"/>
        <v>61</v>
      </c>
      <c r="I65" s="100">
        <f t="shared" si="3"/>
        <v>56</v>
      </c>
      <c r="J65" s="67" t="e">
        <f t="shared" si="4"/>
        <v>#N/A</v>
      </c>
      <c r="K65" s="101">
        <f t="shared" si="5"/>
        <v>56</v>
      </c>
      <c r="L65" s="100">
        <f t="shared" si="6"/>
        <v>60</v>
      </c>
      <c r="M65" s="67" t="e">
        <f t="shared" si="7"/>
        <v>#N/A</v>
      </c>
      <c r="N65" s="101">
        <f t="shared" si="8"/>
        <v>60</v>
      </c>
    </row>
    <row r="66" spans="1:14" ht="15.75">
      <c r="A66" s="112">
        <v>58</v>
      </c>
      <c r="B66" s="110" t="s">
        <v>238</v>
      </c>
      <c r="C66" s="110" t="s">
        <v>237</v>
      </c>
      <c r="D66" s="100" t="s">
        <v>248</v>
      </c>
      <c r="E66" s="101"/>
      <c r="F66" s="100">
        <f t="shared" si="0"/>
        <v>61</v>
      </c>
      <c r="G66" s="67" t="e">
        <f t="shared" si="1"/>
        <v>#N/A</v>
      </c>
      <c r="H66" s="101">
        <f t="shared" si="2"/>
        <v>61</v>
      </c>
      <c r="I66" s="100">
        <f t="shared" si="3"/>
        <v>56</v>
      </c>
      <c r="J66" s="67" t="e">
        <f t="shared" si="4"/>
        <v>#N/A</v>
      </c>
      <c r="K66" s="101">
        <f t="shared" si="5"/>
        <v>56</v>
      </c>
      <c r="L66" s="100">
        <f t="shared" si="6"/>
        <v>60</v>
      </c>
      <c r="M66" s="67" t="e">
        <f t="shared" si="7"/>
        <v>#N/A</v>
      </c>
      <c r="N66" s="101">
        <f t="shared" si="8"/>
        <v>60</v>
      </c>
    </row>
    <row r="67" spans="1:14" ht="15.75">
      <c r="A67" s="112">
        <v>59</v>
      </c>
      <c r="B67" s="110" t="s">
        <v>239</v>
      </c>
      <c r="C67" s="110" t="s">
        <v>240</v>
      </c>
      <c r="D67" s="100" t="s">
        <v>249</v>
      </c>
      <c r="E67" s="101"/>
      <c r="F67" s="100">
        <f t="shared" si="0"/>
        <v>74</v>
      </c>
      <c r="G67" s="67" t="e">
        <f t="shared" si="1"/>
        <v>#N/A</v>
      </c>
      <c r="H67" s="101">
        <f t="shared" si="2"/>
        <v>74</v>
      </c>
      <c r="I67" s="100">
        <f t="shared" si="3"/>
        <v>70</v>
      </c>
      <c r="J67" s="67" t="e">
        <f t="shared" si="4"/>
        <v>#N/A</v>
      </c>
      <c r="K67" s="101">
        <f t="shared" si="5"/>
        <v>70</v>
      </c>
      <c r="L67" s="100">
        <f t="shared" si="6"/>
        <v>73</v>
      </c>
      <c r="M67" s="67" t="e">
        <f t="shared" si="7"/>
        <v>#N/A</v>
      </c>
      <c r="N67" s="101">
        <f t="shared" si="8"/>
        <v>73</v>
      </c>
    </row>
    <row r="68" spans="1:14" ht="16.5" thickBot="1">
      <c r="A68" s="112">
        <v>60</v>
      </c>
      <c r="B68" s="111" t="s">
        <v>243</v>
      </c>
      <c r="C68" s="111" t="s">
        <v>244</v>
      </c>
      <c r="D68" s="102" t="s">
        <v>248</v>
      </c>
      <c r="E68" s="104" t="s">
        <v>287</v>
      </c>
      <c r="F68" s="102">
        <f t="shared" si="0"/>
        <v>61</v>
      </c>
      <c r="G68" s="103">
        <f t="shared" si="1"/>
        <v>80</v>
      </c>
      <c r="H68" s="104">
        <f t="shared" si="2"/>
        <v>70.5</v>
      </c>
      <c r="I68" s="102">
        <f t="shared" si="3"/>
        <v>56</v>
      </c>
      <c r="J68" s="103">
        <f t="shared" si="4"/>
        <v>77</v>
      </c>
      <c r="K68" s="104">
        <f t="shared" si="5"/>
        <v>66.5</v>
      </c>
      <c r="L68" s="102">
        <f t="shared" si="6"/>
        <v>60</v>
      </c>
      <c r="M68" s="103">
        <f t="shared" si="7"/>
        <v>79</v>
      </c>
      <c r="N68" s="104">
        <f t="shared" si="8"/>
        <v>69.5</v>
      </c>
    </row>
  </sheetData>
  <sheetProtection algorithmName="SHA-512" hashValue="PYfIN3P4bfRlaupDsqCNmR8VGJLM3q9zcMlEFjaCuEOBZBvBJNX7RBhD1TgqYKK60QFAY3JVST1D49gHeka8fQ==" saltValue="sUphMyX4s0QpfeyFNiU1ZQ==" spinCount="100000" sheet="1"/>
  <mergeCells count="9">
    <mergeCell ref="L7:N7"/>
    <mergeCell ref="L8:M8"/>
    <mergeCell ref="D7:E8"/>
    <mergeCell ref="B7:B8"/>
    <mergeCell ref="C7:C8"/>
    <mergeCell ref="F8:G8"/>
    <mergeCell ref="F7:H7"/>
    <mergeCell ref="I7:K7"/>
    <mergeCell ref="I8:J8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'Soil Data'!Print_Area</vt:lpstr>
    </vt:vector>
  </TitlesOfParts>
  <Company>City of Crystal Lake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cbarry</dc:creator>
  <cp:lastModifiedBy>jmawdsley</cp:lastModifiedBy>
  <cp:lastPrinted>2020-04-06T20:07:56Z</cp:lastPrinted>
  <dcterms:created xsi:type="dcterms:W3CDTF">2017-12-18T22:51:29Z</dcterms:created>
  <dcterms:modified xsi:type="dcterms:W3CDTF">2020-06-05T17:44:30Z</dcterms:modified>
</cp:coreProperties>
</file>